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OLIC\SECC\SEI 2026\PREGÃO\Serpro\NOVA PESQUSIA\"/>
    </mc:Choice>
  </mc:AlternateContent>
  <xr:revisionPtr revIDLastSave="0" documentId="13_ncr:1_{51CF90B6-9B02-414C-91F6-D9F4282F0135}" xr6:coauthVersionLast="47" xr6:coauthVersionMax="47" xr10:uidLastSave="{00000000-0000-0000-0000-000000000000}"/>
  <bookViews>
    <workbookView xWindow="-120" yWindow="-120" windowWidth="29040" windowHeight="15720" xr2:uid="{3546D727-1464-4B52-8C51-077514FDC3C1}"/>
  </bookViews>
  <sheets>
    <sheet name="Resumo dos Valores" sheetId="1" r:id="rId1"/>
    <sheet name="Atualização Monetária" sheetId="2" r:id="rId2"/>
    <sheet name="Relação de Contrato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7" i="2" l="1"/>
  <c r="J155" i="2"/>
  <c r="M155" i="2" s="1"/>
  <c r="M157" i="2"/>
  <c r="I148" i="2"/>
  <c r="L148" i="2" s="1"/>
  <c r="I149" i="2"/>
  <c r="L149" i="2" s="1"/>
  <c r="I147" i="2"/>
  <c r="L147" i="2" s="1"/>
  <c r="I141" i="2"/>
  <c r="L141" i="2" s="1"/>
  <c r="I140" i="2"/>
  <c r="L140" i="2" s="1"/>
  <c r="J132" i="2"/>
  <c r="M132" i="2" s="1"/>
  <c r="J133" i="2"/>
  <c r="M133" i="2" s="1"/>
  <c r="J134" i="2"/>
  <c r="M134" i="2" s="1"/>
  <c r="J131" i="2"/>
  <c r="M131" i="2" s="1"/>
  <c r="H123" i="2"/>
  <c r="K123" i="2" s="1"/>
  <c r="H124" i="2"/>
  <c r="K124" i="2" s="1"/>
  <c r="H125" i="2"/>
  <c r="K125" i="2" s="1"/>
  <c r="H122" i="2"/>
  <c r="K122" i="2" s="1"/>
  <c r="G123" i="2"/>
  <c r="J123" i="2" s="1"/>
  <c r="G124" i="2"/>
  <c r="J124" i="2" s="1"/>
  <c r="G125" i="2"/>
  <c r="J125" i="2" s="1"/>
  <c r="G122" i="2"/>
  <c r="J122" i="2" s="1"/>
  <c r="J113" i="2"/>
  <c r="M113" i="2" s="1"/>
  <c r="J114" i="2"/>
  <c r="M114" i="2" s="1"/>
  <c r="I112" i="2"/>
  <c r="L112" i="2" s="1"/>
  <c r="I113" i="2"/>
  <c r="L113" i="2" s="1"/>
  <c r="I114" i="2"/>
  <c r="L114" i="2" s="1"/>
  <c r="I116" i="2"/>
  <c r="L116" i="2" s="1"/>
  <c r="I111" i="2"/>
  <c r="L111" i="2" s="1"/>
  <c r="H105" i="2"/>
  <c r="K105" i="2" s="1"/>
  <c r="I101" i="2"/>
  <c r="L101" i="2" s="1"/>
  <c r="I102" i="2"/>
  <c r="L102" i="2" s="1"/>
  <c r="I103" i="2"/>
  <c r="L103" i="2" s="1"/>
  <c r="I104" i="2"/>
  <c r="L104" i="2" s="1"/>
  <c r="H101" i="2"/>
  <c r="K101" i="2" s="1"/>
  <c r="H102" i="2"/>
  <c r="K102" i="2" s="1"/>
  <c r="H103" i="2"/>
  <c r="K103" i="2" s="1"/>
  <c r="H104" i="2"/>
  <c r="K104" i="2" s="1"/>
  <c r="H100" i="2"/>
  <c r="K100" i="2" s="1"/>
  <c r="F94" i="2"/>
  <c r="I94" i="2" s="1"/>
  <c r="E94" i="2"/>
  <c r="H94" i="2" s="1"/>
  <c r="F86" i="2"/>
  <c r="I86" i="2" s="1"/>
  <c r="F87" i="2"/>
  <c r="I87" i="2" s="1"/>
  <c r="F88" i="2"/>
  <c r="I88" i="2" s="1"/>
  <c r="F85" i="2"/>
  <c r="I85" i="2" s="1"/>
  <c r="E86" i="2"/>
  <c r="H86" i="2" s="1"/>
  <c r="E87" i="2"/>
  <c r="H87" i="2" s="1"/>
  <c r="E88" i="2"/>
  <c r="H88" i="2" s="1"/>
  <c r="E85" i="2"/>
  <c r="H85" i="2" s="1"/>
  <c r="F79" i="2"/>
  <c r="I79" i="2" s="1"/>
  <c r="F78" i="2"/>
  <c r="I78" i="2" s="1"/>
  <c r="H72" i="2"/>
  <c r="K72" i="2" s="1"/>
  <c r="G71" i="2"/>
  <c r="J71" i="2" s="1"/>
  <c r="G72" i="2"/>
  <c r="J72" i="2" s="1"/>
  <c r="G70" i="2"/>
  <c r="J70" i="2" s="1"/>
  <c r="I60" i="2"/>
  <c r="L60" i="2" s="1"/>
  <c r="I61" i="2"/>
  <c r="L61" i="2" s="1"/>
  <c r="I64" i="2"/>
  <c r="L64" i="2" s="1"/>
  <c r="I59" i="2"/>
  <c r="L59" i="2" s="1"/>
  <c r="G53" i="2"/>
  <c r="J53" i="2" s="1"/>
  <c r="G52" i="2"/>
  <c r="J52" i="2" s="1"/>
  <c r="K44" i="2"/>
  <c r="G46" i="2"/>
  <c r="G45" i="2"/>
  <c r="E45" i="2"/>
  <c r="I45" i="2" s="1"/>
  <c r="E46" i="2"/>
  <c r="I46" i="2" s="1"/>
  <c r="E44" i="2"/>
  <c r="I44" i="2" s="1"/>
  <c r="L44" i="2" s="1"/>
  <c r="N31" i="2"/>
  <c r="Q31" i="2" s="1"/>
  <c r="N37" i="2"/>
  <c r="Q37" i="2" s="1"/>
  <c r="N38" i="2"/>
  <c r="Q38" i="2" s="1"/>
  <c r="M31" i="2"/>
  <c r="P31" i="2" s="1"/>
  <c r="M32" i="2"/>
  <c r="P32" i="2" s="1"/>
  <c r="M33" i="2"/>
  <c r="P33" i="2" s="1"/>
  <c r="M36" i="2"/>
  <c r="M37" i="2"/>
  <c r="P37" i="2" s="1"/>
  <c r="M38" i="2"/>
  <c r="P38" i="2" s="1"/>
  <c r="M30" i="2"/>
  <c r="P30" i="2" s="1"/>
  <c r="M24" i="2"/>
  <c r="P24" i="2" s="1"/>
  <c r="L20" i="2"/>
  <c r="O20" i="2" s="1"/>
  <c r="L21" i="2"/>
  <c r="O21" i="2" s="1"/>
  <c r="L22" i="2"/>
  <c r="O22" i="2" s="1"/>
  <c r="L23" i="2"/>
  <c r="O23" i="2" s="1"/>
  <c r="L24" i="2"/>
  <c r="O24" i="2" s="1"/>
  <c r="J13" i="2"/>
  <c r="M13" i="2" s="1"/>
  <c r="K5" i="2"/>
  <c r="N5" i="2" s="1"/>
  <c r="K4" i="2"/>
  <c r="N4" i="2" s="1"/>
  <c r="J5" i="2"/>
  <c r="J4" i="2"/>
  <c r="H20" i="2"/>
  <c r="H21" i="2"/>
  <c r="H22" i="2"/>
  <c r="K33" i="2"/>
  <c r="N33" i="2" s="1"/>
  <c r="Q33" i="2" s="1"/>
  <c r="F116" i="2"/>
  <c r="H141" i="2"/>
  <c r="H140" i="2"/>
  <c r="F149" i="2"/>
  <c r="D148" i="2"/>
  <c r="D149" i="2"/>
  <c r="D147" i="2"/>
  <c r="H148" i="2"/>
  <c r="H149" i="2"/>
  <c r="H147" i="2"/>
  <c r="F61" i="2"/>
  <c r="F59" i="2"/>
  <c r="H132" i="2"/>
  <c r="H133" i="2"/>
  <c r="H134" i="2"/>
  <c r="H131" i="2"/>
  <c r="F132" i="2"/>
  <c r="F133" i="2"/>
  <c r="F134" i="2"/>
  <c r="F131" i="2"/>
  <c r="K131" i="2" s="1"/>
  <c r="N131" i="2" s="1"/>
  <c r="H112" i="2"/>
  <c r="J112" i="2" s="1"/>
  <c r="M112" i="2" s="1"/>
  <c r="H116" i="2"/>
  <c r="H111" i="2"/>
  <c r="J111" i="2" s="1"/>
  <c r="M111" i="2" s="1"/>
  <c r="G105" i="2"/>
  <c r="I105" i="2" s="1"/>
  <c r="L105" i="2" s="1"/>
  <c r="G100" i="2"/>
  <c r="I100" i="2" s="1"/>
  <c r="L100" i="2" s="1"/>
  <c r="H61" i="2"/>
  <c r="H59" i="2"/>
  <c r="E141" i="2"/>
  <c r="E140" i="2"/>
  <c r="E32" i="2"/>
  <c r="N32" i="2" s="1"/>
  <c r="Q32" i="2" s="1"/>
  <c r="E36" i="2"/>
  <c r="N36" i="2" s="1"/>
  <c r="E30" i="2"/>
  <c r="N30" i="2" s="1"/>
  <c r="Q30" i="2" s="1"/>
  <c r="D133" i="2"/>
  <c r="E71" i="2"/>
  <c r="H71" i="2" s="1"/>
  <c r="K71" i="2" s="1"/>
  <c r="E70" i="2"/>
  <c r="H70" i="2" s="1"/>
  <c r="K70" i="2" s="1"/>
  <c r="I13" i="2"/>
  <c r="I157" i="2"/>
  <c r="K157" i="2" s="1"/>
  <c r="N157" i="2" s="1"/>
  <c r="I155" i="2"/>
  <c r="D60" i="2"/>
  <c r="J60" i="2" s="1"/>
  <c r="M60" i="2" s="1"/>
  <c r="D61" i="2"/>
  <c r="D64" i="2"/>
  <c r="J64" i="2" s="1"/>
  <c r="M64" i="2" s="1"/>
  <c r="D59" i="2"/>
  <c r="J22" i="2"/>
  <c r="G13" i="2"/>
  <c r="H5" i="2"/>
  <c r="H4" i="2"/>
  <c r="G155" i="2"/>
  <c r="D79" i="2"/>
  <c r="G79" i="2" s="1"/>
  <c r="J79" i="2" s="1"/>
  <c r="D78" i="2"/>
  <c r="G78" i="2" s="1"/>
  <c r="J78" i="2" s="1"/>
  <c r="E53" i="2"/>
  <c r="H53" i="2" s="1"/>
  <c r="K53" i="2" s="1"/>
  <c r="E52" i="2"/>
  <c r="H52" i="2" s="1"/>
  <c r="K52" i="2" s="1"/>
  <c r="E21" i="2"/>
  <c r="M21" i="2" s="1"/>
  <c r="P21" i="2" s="1"/>
  <c r="E22" i="2"/>
  <c r="E23" i="2"/>
  <c r="M23" i="2" s="1"/>
  <c r="P23" i="2" s="1"/>
  <c r="E20" i="2"/>
  <c r="E13" i="2"/>
  <c r="F4" i="2"/>
  <c r="C19" i="1"/>
  <c r="C21" i="1" s="1"/>
  <c r="K132" i="2" l="1"/>
  <c r="N132" i="2" s="1"/>
  <c r="J148" i="2"/>
  <c r="M148" i="2" s="1"/>
  <c r="J147" i="2"/>
  <c r="M147" i="2" s="1"/>
  <c r="J149" i="2"/>
  <c r="M149" i="2" s="1"/>
  <c r="K134" i="2"/>
  <c r="N134" i="2" s="1"/>
  <c r="K155" i="2"/>
  <c r="N155" i="2" s="1"/>
  <c r="J141" i="2"/>
  <c r="M141" i="2" s="1"/>
  <c r="J140" i="2"/>
  <c r="M140" i="2" s="1"/>
  <c r="J116" i="2"/>
  <c r="M116" i="2" s="1"/>
  <c r="K133" i="2"/>
  <c r="N133" i="2" s="1"/>
  <c r="M20" i="2"/>
  <c r="P20" i="2" s="1"/>
  <c r="J59" i="2"/>
  <c r="M59" i="2" s="1"/>
  <c r="J61" i="2"/>
  <c r="M61" i="2" s="1"/>
  <c r="L46" i="2"/>
  <c r="K46" i="2"/>
  <c r="L45" i="2"/>
  <c r="K45" i="2"/>
  <c r="K13" i="2"/>
  <c r="N13" i="2" s="1"/>
  <c r="L4" i="2"/>
  <c r="O4" i="2" s="1"/>
  <c r="M22" i="2"/>
  <c r="P22" i="2" s="1"/>
  <c r="L5" i="2"/>
  <c r="O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Raphael de Oliveira Santos do Nascimento</author>
    <author>Stefano Babinski Neto</author>
  </authors>
  <commentList>
    <comment ref="E4" authorId="0" shapeId="0" xr:uid="{7BEDE68D-8FEF-4A26-8CEE-A8F9E9E01DB3}">
      <text>
        <r>
          <rPr>
            <b/>
            <sz val="9"/>
            <color indexed="81"/>
            <rFont val="Segoe UI"/>
            <charset val="1"/>
          </rPr>
          <t>Raphael de Oliveira Santos do Nascimento:</t>
        </r>
        <r>
          <rPr>
            <sz val="9"/>
            <color indexed="81"/>
            <rFont val="Segoe UI"/>
            <charset val="1"/>
          </rPr>
          <t xml:space="preserve">
Reajuste de 5,2635%</t>
        </r>
      </text>
    </comment>
    <comment ref="G4" authorId="0" shapeId="0" xr:uid="{14B79C48-B302-42D5-BF83-0B265710BEAD}">
      <text>
        <r>
          <rPr>
            <b/>
            <sz val="9"/>
            <color indexed="81"/>
            <rFont val="Segoe UI"/>
            <charset val="1"/>
          </rPr>
          <t>Raphael de Oliveira Santos do Nascimento:</t>
        </r>
        <r>
          <rPr>
            <sz val="9"/>
            <color indexed="81"/>
            <rFont val="Segoe UI"/>
            <charset val="1"/>
          </rPr>
          <t xml:space="preserve">
6,54%</t>
        </r>
      </text>
    </comment>
    <comment ref="I10" authorId="0" shapeId="0" xr:uid="{660F9683-3624-4BDC-AD6B-D4310EA54DAE}">
      <text>
        <r>
          <rPr>
            <b/>
            <sz val="9"/>
            <color indexed="81"/>
            <rFont val="Segoe UI"/>
            <charset val="1"/>
          </rPr>
          <t>Raphael de Oliveira Santos do Nascimento:</t>
        </r>
        <r>
          <rPr>
            <sz val="9"/>
            <color indexed="81"/>
            <rFont val="Segoe UI"/>
            <charset val="1"/>
          </rPr>
          <t xml:space="preserve">
Reajuste ICTI (3,7494%)
F.M - 1,037494</t>
        </r>
      </text>
    </comment>
    <comment ref="G18" authorId="0" shapeId="0" xr:uid="{385DB044-C7C8-4859-A444-4B6AA8994A45}">
      <text>
        <r>
          <rPr>
            <b/>
            <sz val="9"/>
            <color indexed="81"/>
            <rFont val="Segoe UI"/>
            <charset val="1"/>
          </rPr>
          <t>Raphael de Oliveira Santos do Nascimento:</t>
        </r>
        <r>
          <rPr>
            <sz val="9"/>
            <color indexed="81"/>
            <rFont val="Segoe UI"/>
            <charset val="1"/>
          </rPr>
          <t xml:space="preserve">
Reajuste 6,96%</t>
        </r>
      </text>
    </comment>
    <comment ref="E29" authorId="0" shapeId="0" xr:uid="{10E985CA-323A-4090-85BE-DFDDDB7B701A}">
      <text>
        <r>
          <rPr>
            <b/>
            <sz val="9"/>
            <color indexed="81"/>
            <rFont val="Segoe UI"/>
            <family val="2"/>
          </rPr>
          <t>Raphael de Oliveira Santos do Nascimento:</t>
        </r>
        <r>
          <rPr>
            <sz val="9"/>
            <color indexed="81"/>
            <rFont val="Segoe UI"/>
            <family val="2"/>
          </rPr>
          <t xml:space="preserve">
Percentual de Reajuste 3,7494%
F.M: 1,037494</t>
        </r>
      </text>
    </comment>
    <comment ref="J29" authorId="0" shapeId="0" xr:uid="{ABFB8B45-F106-4ADE-A2D8-765DA607ED5D}">
      <text>
        <r>
          <rPr>
            <b/>
            <sz val="9"/>
            <color indexed="81"/>
            <rFont val="Segoe UI"/>
            <charset val="1"/>
          </rPr>
          <t>Raphael de Oliveira Santos do Nascimento:</t>
        </r>
        <r>
          <rPr>
            <sz val="9"/>
            <color indexed="81"/>
            <rFont val="Segoe UI"/>
            <charset val="1"/>
          </rPr>
          <t xml:space="preserve">
Reajuste de 4,6801%
</t>
        </r>
      </text>
    </comment>
    <comment ref="E43" authorId="0" shapeId="0" xr:uid="{346A4E80-235B-4AA9-B88B-212AEB1CB57D}">
      <text>
        <r>
          <rPr>
            <b/>
            <sz val="9"/>
            <color indexed="81"/>
            <rFont val="Segoe UI"/>
            <family val="2"/>
          </rPr>
          <t>Raphael de Oliveira Santos do Nascimento:</t>
        </r>
        <r>
          <rPr>
            <sz val="9"/>
            <color indexed="81"/>
            <rFont val="Segoe UI"/>
            <family val="2"/>
          </rPr>
          <t xml:space="preserve">
Reajuste de 6,40039267%</t>
        </r>
      </text>
    </comment>
    <comment ref="G43" authorId="1" shapeId="0" xr:uid="{A03060A8-39B2-4643-84B3-BC0DA061F2AD}">
      <text>
        <r>
          <rPr>
            <b/>
            <sz val="9"/>
            <color indexed="81"/>
            <rFont val="Segoe UI"/>
            <charset val="1"/>
          </rPr>
          <t>Stefano Babinski Neto:</t>
        </r>
        <r>
          <rPr>
            <sz val="9"/>
            <color indexed="81"/>
            <rFont val="Segoe UI"/>
            <charset val="1"/>
          </rPr>
          <t xml:space="preserve">
Reajuste de 10,6878
%</t>
        </r>
      </text>
    </comment>
    <comment ref="E58" authorId="0" shapeId="0" xr:uid="{2BA34F4B-2710-40D4-AFCF-77430C4C16DA}">
      <text>
        <r>
          <rPr>
            <b/>
            <sz val="9"/>
            <color indexed="81"/>
            <rFont val="Segoe UI"/>
            <family val="2"/>
          </rPr>
          <t>Raphael de Oliveira Santos do Nascimento:</t>
        </r>
        <r>
          <rPr>
            <sz val="9"/>
            <color indexed="81"/>
            <rFont val="Segoe UI"/>
            <family val="2"/>
          </rPr>
          <t xml:space="preserve">
Percentual de Reajuste 3,5673%
F.M: 1,035673</t>
        </r>
      </text>
    </comment>
    <comment ref="G58" authorId="0" shapeId="0" xr:uid="{86423B3E-742D-46A4-ADAD-89748690E38E}">
      <text>
        <r>
          <rPr>
            <b/>
            <sz val="9"/>
            <color indexed="81"/>
            <rFont val="Segoe UI"/>
            <family val="2"/>
          </rPr>
          <t>Raphael de Oliveira Santos do Nascimento:</t>
        </r>
        <r>
          <rPr>
            <sz val="9"/>
            <color indexed="81"/>
            <rFont val="Segoe UI"/>
            <family val="2"/>
          </rPr>
          <t xml:space="preserve">
Percentual de Reajuste: 10,6878%
F.M: 1,106878</t>
        </r>
      </text>
    </comment>
    <comment ref="E110" authorId="0" shapeId="0" xr:uid="{72B75FEA-49F3-4A57-BE46-336FAFA9ACAF}">
      <text>
        <r>
          <rPr>
            <b/>
            <sz val="9"/>
            <color indexed="81"/>
            <rFont val="Segoe UI"/>
            <charset val="1"/>
          </rPr>
          <t>Raphael de Oliveira Santos do Nascimento:</t>
        </r>
        <r>
          <rPr>
            <sz val="9"/>
            <color indexed="81"/>
            <rFont val="Segoe UI"/>
            <charset val="1"/>
          </rPr>
          <t xml:space="preserve">
Reajuste de 3,57%</t>
        </r>
      </text>
    </comment>
    <comment ref="E130" authorId="0" shapeId="0" xr:uid="{69260EF8-F882-4B76-B42B-46111ED5E85E}">
      <text>
        <r>
          <rPr>
            <b/>
            <sz val="9"/>
            <color indexed="81"/>
            <rFont val="Segoe UI"/>
            <family val="2"/>
          </rPr>
          <t>Raphael de Oliveira Santos do Nascimento:</t>
        </r>
        <r>
          <rPr>
            <sz val="9"/>
            <color indexed="81"/>
            <rFont val="Segoe UI"/>
            <family val="2"/>
          </rPr>
          <t xml:space="preserve">
Percentual de Reajuste: 3,5673%
F.M: 1,035673</t>
        </r>
      </text>
    </comment>
    <comment ref="G130" authorId="0" shapeId="0" xr:uid="{8D9F741C-8F00-448F-960A-D03261A5A5E5}">
      <text>
        <r>
          <rPr>
            <b/>
            <sz val="9"/>
            <color indexed="81"/>
            <rFont val="Segoe UI"/>
            <family val="2"/>
          </rPr>
          <t>Raphael de Oliveira Santos do Nascimento:</t>
        </r>
        <r>
          <rPr>
            <sz val="9"/>
            <color indexed="81"/>
            <rFont val="Segoe UI"/>
            <family val="2"/>
          </rPr>
          <t xml:space="preserve">
Percentual de Reajuste: 4,4397%
F.M: 1,044397</t>
        </r>
      </text>
    </comment>
    <comment ref="G139" authorId="0" shapeId="0" xr:uid="{8137D2B5-0E00-42BD-9B23-60045881AA48}">
      <text>
        <r>
          <rPr>
            <b/>
            <sz val="9"/>
            <color indexed="81"/>
            <rFont val="Segoe UI"/>
            <charset val="1"/>
          </rPr>
          <t>Raphael de Oliveira Santos do Nascimento:</t>
        </r>
        <r>
          <rPr>
            <sz val="9"/>
            <color indexed="81"/>
            <rFont val="Segoe UI"/>
            <charset val="1"/>
          </rPr>
          <t xml:space="preserve">
Percentual de Reajuste: 6,40039267%
F.M: 1,0640039267</t>
        </r>
      </text>
    </comment>
    <comment ref="C146" authorId="0" shapeId="0" xr:uid="{90CAF457-9973-4A2C-B4D9-A6511A0A37B7}">
      <text>
        <r>
          <rPr>
            <b/>
            <sz val="9"/>
            <color indexed="81"/>
            <rFont val="Segoe UI"/>
            <charset val="1"/>
          </rPr>
          <t>Raphael de Oliveira Santos do Nascimento:</t>
        </r>
        <r>
          <rPr>
            <sz val="9"/>
            <color indexed="81"/>
            <rFont val="Segoe UI"/>
            <charset val="1"/>
          </rPr>
          <t xml:space="preserve">
Percentual de Reajuste: 10,6878%
F.M: 1,106878</t>
        </r>
      </text>
    </comment>
    <comment ref="E146" authorId="0" shapeId="0" xr:uid="{B366EC00-ED8B-4D47-AD26-183220492B79}">
      <text>
        <r>
          <rPr>
            <b/>
            <sz val="9"/>
            <color indexed="81"/>
            <rFont val="Segoe UI"/>
            <charset val="1"/>
          </rPr>
          <t>Raphael de Oliveira Santos do Nascimento:</t>
        </r>
        <r>
          <rPr>
            <sz val="9"/>
            <color indexed="81"/>
            <rFont val="Segoe UI"/>
            <charset val="1"/>
          </rPr>
          <t xml:space="preserve">
Percentual de Reajuste: 3,2934%
F.M: 1,032934</t>
        </r>
      </text>
    </comment>
  </commentList>
</comments>
</file>

<file path=xl/sharedStrings.xml><?xml version="1.0" encoding="utf-8"?>
<sst xmlns="http://schemas.openxmlformats.org/spreadsheetml/2006/main" count="662" uniqueCount="341">
  <si>
    <t>ANEXO</t>
  </si>
  <si>
    <t>Serviço</t>
  </si>
  <si>
    <t>Valor Total (R$)</t>
  </si>
  <si>
    <t>Produção de Soluções de TI</t>
  </si>
  <si>
    <t>Serviços de Desenvolvimento e Manutenção de Sistemas</t>
  </si>
  <si>
    <t>Consultoria Técnica</t>
  </si>
  <si>
    <t>Atendimento Especializado</t>
  </si>
  <si>
    <t>Infraestrutura</t>
  </si>
  <si>
    <t>Serviços de Dados</t>
  </si>
  <si>
    <t>SERPRO Multicloud</t>
  </si>
  <si>
    <t>INFOCONV</t>
  </si>
  <si>
    <t>DIALOGA</t>
  </si>
  <si>
    <t>SERPRO Bots</t>
  </si>
  <si>
    <t>Serviços de Informação</t>
  </si>
  <si>
    <t>Plataforma WhatsApp</t>
  </si>
  <si>
    <t>SERPRO Virtual</t>
  </si>
  <si>
    <t>GovShield</t>
  </si>
  <si>
    <t>Colocation</t>
  </si>
  <si>
    <t>VIO e PROID</t>
  </si>
  <si>
    <t>Serviços Especiais – PTA</t>
  </si>
  <si>
    <t>VALOR TOTAL DO CONTRATO</t>
  </si>
  <si>
    <t>Desoneração Financeira (abatimento)</t>
  </si>
  <si>
    <t>TOTAL GERAL DA CONTRATAÇÃO (24 meses) com desoneração estimada</t>
  </si>
  <si>
    <t>ANEXO 2 - Serviços de Desenvolvimento e Manutenção de Sistemas</t>
  </si>
  <si>
    <t>Contrato
atual</t>
  </si>
  <si>
    <t>V. unitário</t>
  </si>
  <si>
    <t>Unidade</t>
  </si>
  <si>
    <t>ANA</t>
  </si>
  <si>
    <t>ANAC</t>
  </si>
  <si>
    <t>Proposta
SERPRO</t>
  </si>
  <si>
    <t>Desenvolvimento e
Manutenção de Sistemas</t>
  </si>
  <si>
    <t>Construção e Manutenção
de Software - Serviço
Especializado</t>
  </si>
  <si>
    <t>N/A</t>
  </si>
  <si>
    <t>ANEXO 03 - CONSULTORIA TÉCNICA</t>
  </si>
  <si>
    <t>PESQUISA COM OUTROS ÓRGÃOS</t>
  </si>
  <si>
    <t>SERVIÇO / ITEM</t>
  </si>
  <si>
    <t>MEC</t>
  </si>
  <si>
    <t>Consultoria Técnica sem
deslocamento</t>
  </si>
  <si>
    <t>Hora</t>
  </si>
  <si>
    <t>Consultoria Técnica com
deslocamento</t>
  </si>
  <si>
    <t>ANEXO 5.1 - CERTIFICADO DIGITAL</t>
  </si>
  <si>
    <t>OUTROS ÓRGÃOS</t>
  </si>
  <si>
    <t>IFET-CE</t>
  </si>
  <si>
    <t>MAPA</t>
  </si>
  <si>
    <t>MCOM</t>
  </si>
  <si>
    <t>Certificação
Digital -Emissão via
Módulo
Eletrônico de
AR - PF A3 - 1
ano com Token</t>
  </si>
  <si>
    <t>NA</t>
  </si>
  <si>
    <t>Certificação
Digital -Emissão via
Módulo
Eletrônico de
AR - PF A3 - 3
anos com
Token</t>
  </si>
  <si>
    <t>SerproID -Emissão via
Módulo
Eletrônico de
AR - PF - 3
anos</t>
  </si>
  <si>
    <t>Equipamento
A1 de 1 ano</t>
  </si>
  <si>
    <t>Certificação
Digital - Varejo
- PF - A3 (1
ano) com
Token</t>
  </si>
  <si>
    <t>SerproID -Varejo - PF - 3
anos com AR</t>
  </si>
  <si>
    <t>ANEXO 5.2 - INFOVIA</t>
  </si>
  <si>
    <t>UNIDADE</t>
  </si>
  <si>
    <t>ICMBIO</t>
  </si>
  <si>
    <t>MINC</t>
  </si>
  <si>
    <t>MDR</t>
  </si>
  <si>
    <t>CD</t>
  </si>
  <si>
    <t>MAER</t>
  </si>
  <si>
    <t>INFOVIA
Brasília -Conexão Tipo 1
- 10 Gbps</t>
  </si>
  <si>
    <t>INFOVIA -Conexão Tipo 2</t>
  </si>
  <si>
    <t>INFOVIA -Porta Adicional</t>
  </si>
  <si>
    <t>INFOVIA -Serviço
adicional de
Conexão à
Internet -Pacote de 1000
Mbps</t>
  </si>
  <si>
    <t>Mbps/mês</t>
  </si>
  <si>
    <t>INFOVIA -SERVIÇO
adicional de
Conexão à
Internet -Pacote de300
Mbps *</t>
  </si>
  <si>
    <t>INFOVIA -SERVIÇO
adicional de
Conexão à
Internet -Pacote de 400
Mbps*</t>
  </si>
  <si>
    <t>INFOVIA -SERVIÇO
adicional de
Conexão à
Internet -Pacote de 600
Mbps</t>
  </si>
  <si>
    <t>ANEXO 5.3 - REDE DE LONGA DISTÂNCIA - WAN</t>
  </si>
  <si>
    <t>INFOVIA -Alocação
Adicional de
Endereçamento
IP</t>
  </si>
  <si>
    <t>INFOVIA -Serviço adicional de Conexão à Internet -Excedente de Pacote de 1000 Mbps</t>
  </si>
  <si>
    <t>MMA</t>
  </si>
  <si>
    <t>PGFN-wan</t>
  </si>
  <si>
    <t>Rede Longa Distância -WAN - Acesso Internet -20 Mbps</t>
  </si>
  <si>
    <t>20
Mbps/mês</t>
  </si>
  <si>
    <t>Rede Longa Distância -WAN - Backbone
SERPRO - 20 Mbps</t>
  </si>
  <si>
    <t>Rede Longa Distância -WAN - Circuito - Última
Milha Dedicado</t>
  </si>
  <si>
    <t>ANEXO 6.3 - DaaS Dados como Serviço</t>
  </si>
  <si>
    <t>PR</t>
  </si>
  <si>
    <t>DaaS - Dados como Serviço -Gestor da Base e Órgãos de
Controle - Pacote de 50.000
milheiros</t>
  </si>
  <si>
    <t>DaaS - Dados como Serviço -Gestor da Base e Órgãos de
Controle - Milheiro Excedente</t>
  </si>
  <si>
    <t>ANEXO 6.4 - PLATAFORMA DE SOLUÇÕES ANALÍTICAS</t>
  </si>
  <si>
    <t>RFB</t>
  </si>
  <si>
    <t>PGFN*</t>
  </si>
  <si>
    <t>PSA - Plataforma de
Soluções Analíticas -Ambiente</t>
  </si>
  <si>
    <t>Ambiente</t>
  </si>
  <si>
    <t>PSA - Ingestão Full Banco
de Dados Categoria 1 -Faixa 09 - De 20.000 GB a
24.999 GB</t>
  </si>
  <si>
    <t>GigaByte</t>
  </si>
  <si>
    <t>PSA - Ingestão Incremental
Banco de Dados Categoria
1 - Diária</t>
  </si>
  <si>
    <t>Data Discovery Serpro -Modalidade 1 - Faixa 4 - de
51 a 100 usuários -Mercado Público</t>
  </si>
  <si>
    <t>Por usuário</t>
  </si>
  <si>
    <t>Data Discovery Serpro -Modalidade 2 - Faixa 1 - De
0 a 10 usuários</t>
  </si>
  <si>
    <t>ANEXO 7 SERPRO MULTICLOUD</t>
  </si>
  <si>
    <t>ÓRGÃOS SIMILARES</t>
  </si>
  <si>
    <t>MPDFT</t>
  </si>
  <si>
    <t>Serpro MultiCloud - Cloud
Generic Professional
Services</t>
  </si>
  <si>
    <t>Serpro MultiCloud - Cloud
Services Brokerage</t>
  </si>
  <si>
    <t>CSB</t>
  </si>
  <si>
    <t>Serpro MultiCloud - CSM -Avançado - Esforço de
Gerenciamento - 40.000 até
500.000 (vol. CSM).</t>
  </si>
  <si>
    <t>CSM</t>
  </si>
  <si>
    <t>ANEXO 8 SERPRO INFOCONV</t>
  </si>
  <si>
    <t>PGJ-PE</t>
  </si>
  <si>
    <t>INFOCONV - Entes Públicos -1.999 consultas</t>
  </si>
  <si>
    <t>INFOCONV - Entes Públicos -faixa de 2.000 a 49.999 consultas</t>
  </si>
  <si>
    <t>Consultas</t>
  </si>
  <si>
    <t>ANEXO 9 DIALOGA</t>
  </si>
  <si>
    <t>CORE-RJ</t>
  </si>
  <si>
    <t>MP-SC</t>
  </si>
  <si>
    <t>Dialoga - Consultoria - Início rápido de
operações</t>
  </si>
  <si>
    <t>Pacote de 8
horas</t>
  </si>
  <si>
    <t>Dialoga - Consultoria - Migração</t>
  </si>
  <si>
    <t>Dialoga - Consultoria - Orientação de
Implementação</t>
  </si>
  <si>
    <t>Dialoga - Licença Multicanal - Faixa 026 a
100 agentes</t>
  </si>
  <si>
    <t>ANEXO 10 SERPRO BOTS</t>
  </si>
  <si>
    <t>PESQUISA COM OUTROS
ÓRGÃOS</t>
  </si>
  <si>
    <t>TJ-PR</t>
  </si>
  <si>
    <t>SerproBots - Conversações inteligentes -Faixa 1 de 5.001 até 15.000</t>
  </si>
  <si>
    <t>ANEXO 11 SERVIÇOS DE INFORMAÇÃO (PARTE 1)</t>
  </si>
  <si>
    <t>PGT</t>
  </si>
  <si>
    <t>TCE-SC</t>
  </si>
  <si>
    <t>PGFN</t>
  </si>
  <si>
    <t>bCadastros -Implantação</t>
  </si>
  <si>
    <t>Implantação</t>
  </si>
  <si>
    <t>bCadastros -Assinatura da Base -CAEPF</t>
  </si>
  <si>
    <t>Assinatura</t>
  </si>
  <si>
    <t>bCadastros -Assinatura da Base -CNO</t>
  </si>
  <si>
    <t>bCadastros -Assinatura da Base -CNPJ</t>
  </si>
  <si>
    <t>bCadastros -Assinatura da Base -CPF</t>
  </si>
  <si>
    <t>bCadastros -Assinatura da Base -DAU</t>
  </si>
  <si>
    <t>ANEXO 11 SERVIÇOS DE INFORMAÇÃO (PARTE2)</t>
  </si>
  <si>
    <t>BNDES</t>
  </si>
  <si>
    <t>CEC</t>
  </si>
  <si>
    <t>IPEA</t>
  </si>
  <si>
    <t>Consulta CNPJ -Consulta Básica CNPJ -Mercado Público - Faixa
02 - 1.000 a 9.999</t>
  </si>
  <si>
    <t>Consulta</t>
  </si>
  <si>
    <t>Consulta CPF - Faixa 01
de 0 a 1.999 transações -Mercado Público</t>
  </si>
  <si>
    <t>Por transação</t>
  </si>
  <si>
    <t>Consulta Dívida Ativa -Faixa 01 - de 0 a 1.999
transações - Mercado
Público</t>
  </si>
  <si>
    <t>Transações NF-e - Faixa
01 de 0 a 1.999
transações - Mercado
Público</t>
  </si>
  <si>
    <t>Integra Comex -Consulta Terceiros -Mercado Público - Faixa
1 - de 0 a 999</t>
  </si>
  <si>
    <t>Franquia</t>
  </si>
  <si>
    <t>Integra SIAFI - Faixa 01 -de 1 até 399</t>
  </si>
  <si>
    <t>ANEXO 12 PLATAFORMA WHATSAPP</t>
  </si>
  <si>
    <t>PREF.
VITÓRIA</t>
  </si>
  <si>
    <t>CREA-RJ</t>
  </si>
  <si>
    <t>Whatsapp - Assinatura
mensal</t>
  </si>
  <si>
    <t>Valor mensal</t>
  </si>
  <si>
    <t>Whatsapp - Mensagem
Modelo de Utilidade - faixa 1
- de 250.001 até 2.000.000</t>
  </si>
  <si>
    <t>WhatsApp - Mensagem
Modelo de Marketing</t>
  </si>
  <si>
    <t>WhatsApp - Serviço de
Instalação/Setup</t>
  </si>
  <si>
    <t>Setup</t>
  </si>
  <si>
    <t>ÓRGÃO</t>
  </si>
  <si>
    <t>SIGLA</t>
  </si>
  <si>
    <t>CONTRATO / TERMO
DE ADESÃO</t>
  </si>
  <si>
    <t>ASSINATURA</t>
  </si>
  <si>
    <t>VIGÊNCIA</t>
  </si>
  <si>
    <t>DOC. SEI</t>
  </si>
  <si>
    <t>Ministério da Agricultura,
Pecuária e
Abastecimento</t>
  </si>
  <si>
    <t>14/2021</t>
  </si>
  <si>
    <t>CERTIFICADO DIGITAL</t>
  </si>
  <si>
    <t>46/2024</t>
  </si>
  <si>
    <t>INFOVIA</t>
  </si>
  <si>
    <t>Agência Nacional de
Águas e Saneamento
Básico</t>
  </si>
  <si>
    <t>019/2024</t>
  </si>
  <si>
    <t>SERVIÇOS DE
HOSPEDAGEM E
PRODUÇÃO DE
SOLUÇÕES,
DESENVOLVIMENTO DE
SISTEMAS, INFOVIA,
MULTICLOUD,
CERTIFICADOS DIGITAIS,
VIO, INFOCONV, DADOS
COMO SERVIÇO,
CONSULTORIA TÉCNICA</t>
  </si>
  <si>
    <t>Ministério das
Comunicações</t>
  </si>
  <si>
    <t>21/2025</t>
  </si>
  <si>
    <t>10797208</t>
  </si>
  <si>
    <t>Instituto Chico Mendes
de Conservação da
Biodiversidade</t>
  </si>
  <si>
    <t>ICMBio</t>
  </si>
  <si>
    <t>65/2024</t>
  </si>
  <si>
    <t>INFOVIA, GOVSHIELD</t>
  </si>
  <si>
    <t>10797210</t>
  </si>
  <si>
    <t>Ministério do
Desenvolvimento
Regional</t>
  </si>
  <si>
    <t>43/2025</t>
  </si>
  <si>
    <t>10797213</t>
  </si>
  <si>
    <t>Ministério da Educação</t>
  </si>
  <si>
    <t>18/2025</t>
  </si>
  <si>
    <t>MULTICLOUD</t>
  </si>
  <si>
    <t>10797219</t>
  </si>
  <si>
    <t>Ministério Público do
Distrito Federal e
Territórios</t>
  </si>
  <si>
    <t>33/2025</t>
  </si>
  <si>
    <t>10797221</t>
  </si>
  <si>
    <t>Procuradoria-Geral do
Trabalho DF</t>
  </si>
  <si>
    <t>PGT/DF</t>
  </si>
  <si>
    <t>33/2023</t>
  </si>
  <si>
    <t>B-CADASTROS</t>
  </si>
  <si>
    <t>10808399</t>
  </si>
  <si>
    <t>28/2025</t>
  </si>
  <si>
    <t>WHATSAPP</t>
  </si>
  <si>
    <t>10838271</t>
  </si>
  <si>
    <t>Procuradoria-Geral do
Estado de Pernambuco</t>
  </si>
  <si>
    <t>PGE/PE</t>
  </si>
  <si>
    <t>LEG00101/2025-PGE-PE-370101/2025</t>
  </si>
  <si>
    <t>10808901</t>
  </si>
  <si>
    <t>LEG00100/2025-PGE-PE-370101/2025</t>
  </si>
  <si>
    <t>Tribunal de Contas de
Santa Catarina</t>
  </si>
  <si>
    <t>TC/SC</t>
  </si>
  <si>
    <t>51/2025</t>
  </si>
  <si>
    <t>10808906</t>
  </si>
  <si>
    <t>Instituto Federal de
Educação, Ciência e
Tecnologia do Estado
do Ceará</t>
  </si>
  <si>
    <t>IFET/CE</t>
  </si>
  <si>
    <t>9/2026</t>
  </si>
  <si>
    <t>10808907</t>
  </si>
  <si>
    <t>Controladoria-Geral da
União</t>
  </si>
  <si>
    <t>CGU</t>
  </si>
  <si>
    <t>5/2025</t>
  </si>
  <si>
    <t>COLOCATION</t>
  </si>
  <si>
    <t>10808914</t>
  </si>
  <si>
    <t>Ministério do
Desenvolvimento e
Assistência Social,
Família e Combate à
Fome</t>
  </si>
  <si>
    <t>MDS</t>
  </si>
  <si>
    <t>61/2024</t>
  </si>
  <si>
    <t>10808916</t>
  </si>
  <si>
    <t>Presidência da
República</t>
  </si>
  <si>
    <t>1/2026</t>
  </si>
  <si>
    <t>DAAS</t>
  </si>
  <si>
    <t>10815605</t>
  </si>
  <si>
    <t>Agência Nacional de
Aviação Civil</t>
  </si>
  <si>
    <t>13/2024</t>
  </si>
  <si>
    <t>DESENVOLVIMENTO E
MANUTENÇÃO DE
SISTEMAS;
CONSTRUÇÃO E
MANUTENÇÃO DE
SOFTWARE - SERVIÇO
ESPECIALIZADO;
PLATAFORMA DE
SOLUÇÕES ANALÍTICAS;
PSA - INGESTÃO
INCREMENTAL BANCO
DE DADOS CATEGORIA
1; INFOVIA;
CERTIFICADO DIGITAL;
PROPOSTA TÉCNICA DE
ATENDIMENTO</t>
  </si>
  <si>
    <t>10815616</t>
  </si>
  <si>
    <t>Ministério do Meio
Ambiente e Mudança do
Clima</t>
  </si>
  <si>
    <t>1/2024</t>
  </si>
  <si>
    <t>GOVSHIELD; INFOVIA</t>
  </si>
  <si>
    <t>10815649</t>
  </si>
  <si>
    <t>Ministério da
Aeronáutica</t>
  </si>
  <si>
    <t>32/2025</t>
  </si>
  <si>
    <t>10815665</t>
  </si>
  <si>
    <t>Conselho Regional de
Administração do Rio
Grande do Sul</t>
  </si>
  <si>
    <t>CRA/RS</t>
  </si>
  <si>
    <t>51/2024</t>
  </si>
  <si>
    <t>PROID</t>
  </si>
  <si>
    <t>10815674</t>
  </si>
  <si>
    <t>Tribunal de Contas de
Roraima</t>
  </si>
  <si>
    <t>TCE-RR</t>
  </si>
  <si>
    <t>46/2025</t>
  </si>
  <si>
    <t>Tribunal Regional
Eleitoral da Bahia</t>
  </si>
  <si>
    <t>TRE-BA</t>
  </si>
  <si>
    <t>34/2025</t>
  </si>
  <si>
    <t>Tribunal de Justiça de
Santa Catarina</t>
  </si>
  <si>
    <t>424/2025</t>
  </si>
  <si>
    <t>SERPROBOTS</t>
  </si>
  <si>
    <t>Conselho Regional dos
Representantes
Comerciais do Estado
do Rio de Janeiro</t>
  </si>
  <si>
    <t>8/2025</t>
  </si>
  <si>
    <t>Conselho Regional de
Engenharia e
Agronomia do Rio de
Janeiro</t>
  </si>
  <si>
    <t>1.037/2025</t>
  </si>
  <si>
    <t>Prefeitura de Vitória</t>
  </si>
  <si>
    <t>405/2025</t>
  </si>
  <si>
    <t>Câmara dos Deputados</t>
  </si>
  <si>
    <t>134/2022</t>
  </si>
  <si>
    <t>MInistério da Cultura</t>
  </si>
  <si>
    <t>1/2023</t>
  </si>
  <si>
    <t>Secretaria Municipal de
Administracao - Nova
Lima/MG</t>
  </si>
  <si>
    <t>P. N. LIMA</t>
  </si>
  <si>
    <t>81/2025</t>
  </si>
  <si>
    <t>Banco Nacional de
Desenvolvimento
Econômico e Social</t>
  </si>
  <si>
    <t>153/2025</t>
  </si>
  <si>
    <t>CONSULTA NFe</t>
  </si>
  <si>
    <t>Instituto de Pequisa
Econômica Aplicada</t>
  </si>
  <si>
    <t>15/2024</t>
  </si>
  <si>
    <t>API INTEGRA SIAFI</t>
  </si>
  <si>
    <t>Receita Federal do
Brasil</t>
  </si>
  <si>
    <t>25/2023</t>
  </si>
  <si>
    <t>Secretaria de Educação
do Distrito Federal</t>
  </si>
  <si>
    <t>SEE-DF</t>
  </si>
  <si>
    <t>108/2024</t>
  </si>
  <si>
    <t>VIRTUAL CLIENT</t>
  </si>
  <si>
    <t>Consult Estratégias
Corporativas</t>
  </si>
  <si>
    <t>-</t>
  </si>
  <si>
    <t>CONSULTA DÍVIDA ATIVA</t>
  </si>
  <si>
    <t>Prefeitura de Palmas</t>
  </si>
  <si>
    <t>P. PALMAS</t>
  </si>
  <si>
    <t>41/2024</t>
  </si>
  <si>
    <t>SERPRO VIRTUAL</t>
  </si>
  <si>
    <t>Procuradoria-Geral da
Fazenda Nacional</t>
  </si>
  <si>
    <t>06/2023</t>
  </si>
  <si>
    <t>REDE DE LONGA
DISTÂNCIA</t>
  </si>
  <si>
    <t>Ministério Público de
Santa Catarina</t>
  </si>
  <si>
    <t>ANEXO 13 SERPRO VIRTUAL</t>
  </si>
  <si>
    <t>P.PALMAS</t>
  </si>
  <si>
    <t>Serpro Virtual-Consultoria-para-atividades-fora-do-escopo-padrão-do-produto</t>
  </si>
  <si>
    <t>Serpro Virtual-Implantação</t>
  </si>
  <si>
    <t>Serpro Virtual-Tipo-3-SV6-4vCPU-8GB-RAM-128Gb-SSD-Windows</t>
  </si>
  <si>
    <t>Serpro Virtual-Tipo-5-SV12-4vCPU-16GB-RAM-128Gb-SSD-Windows</t>
  </si>
  <si>
    <t>ANEXO 14 GOVSHIELD</t>
  </si>
  <si>
    <t>GovShield - Adicional
TB (TeraByte) para
Bronze e Prata</t>
  </si>
  <si>
    <t>GovShield -Modalidade Prata</t>
  </si>
  <si>
    <t>ANEXO 15 COLOACATION</t>
  </si>
  <si>
    <t>Colocation - Área</t>
  </si>
  <si>
    <t>Colocation - Potência</t>
  </si>
  <si>
    <t>kW -Quilowatt</t>
  </si>
  <si>
    <t>Colocation - Smart Hands</t>
  </si>
  <si>
    <t>ANEXO 16.1 VIO E PROID</t>
  </si>
  <si>
    <t>CRA-RS</t>
  </si>
  <si>
    <t>VIO - Geração de</t>
  </si>
  <si>
    <t>Códigos Bidimensionais</t>
  </si>
  <si>
    <t>ProID - Faixa 01 - até</t>
  </si>
  <si>
    <t>Carteira</t>
  </si>
  <si>
    <t>ANAC(ATUALIZADO</t>
  </si>
  <si>
    <t>Reajuste ICTI</t>
  </si>
  <si>
    <t>Contrato Vigente</t>
  </si>
  <si>
    <t>LEGENDA</t>
  </si>
  <si>
    <t>Vigência Expirada</t>
  </si>
  <si>
    <t>Tem Apostilamento</t>
  </si>
  <si>
    <t>Verificar</t>
  </si>
  <si>
    <t>V. unitário médio</t>
  </si>
  <si>
    <t>Contrato atual
V. unitário</t>
  </si>
  <si>
    <t>SERVIÇOS / ITENS</t>
  </si>
  <si>
    <t>SERVIÇOS CONTRATADOS</t>
  </si>
  <si>
    <t>ANA - Atualizado</t>
  </si>
  <si>
    <t>ANAC - Atualizado</t>
  </si>
  <si>
    <t>RFB - Atualizado</t>
  </si>
  <si>
    <t>MEC - Atualizado</t>
  </si>
  <si>
    <t>MAPA - Atualizado</t>
  </si>
  <si>
    <t>ICMBIO - Atualizado</t>
  </si>
  <si>
    <t>CD - Atualizado</t>
  </si>
  <si>
    <t>PGFN - Atualizado</t>
  </si>
  <si>
    <t>IPEA - Atualizado</t>
  </si>
  <si>
    <t>SEE-DF - Atualizado</t>
  </si>
  <si>
    <t>P. PALMAS - Atualizado</t>
  </si>
  <si>
    <t>MMA - Atualizado</t>
  </si>
  <si>
    <t>MDS - Atualizado</t>
  </si>
  <si>
    <t>CGU - Atualizado</t>
  </si>
  <si>
    <t>V. unitário médio
Atualizado</t>
  </si>
  <si>
    <t>Diferença</t>
  </si>
  <si>
    <t>Diferença
Atualizada</t>
  </si>
  <si>
    <t>PGFN-wan - Atualizado</t>
  </si>
  <si>
    <t>Pacote de Consultas</t>
  </si>
  <si>
    <t>Usuários Simultâneos</t>
  </si>
  <si>
    <t xml:space="preserve">Hora de Serviço Técnico </t>
  </si>
  <si>
    <t>Ponto de função</t>
  </si>
  <si>
    <t>Certificado emitido</t>
  </si>
  <si>
    <t>Conexão Básica</t>
  </si>
  <si>
    <t xml:space="preserve">Ponto de Rede/Mês </t>
  </si>
  <si>
    <t>Valor/mês</t>
  </si>
  <si>
    <t>Pacote de Milheiros</t>
  </si>
  <si>
    <t>PSA - Visualização de Painéis Públicos</t>
  </si>
  <si>
    <t>Licença por Agente</t>
  </si>
  <si>
    <t>Por Conversação</t>
  </si>
  <si>
    <t>Unitário</t>
  </si>
  <si>
    <t>Metro Quadrado</t>
  </si>
  <si>
    <t>10797170 / 10797205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</si>
</sst>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44" fontId="0" fillId="4" borderId="1" xfId="1" applyFont="1" applyFill="1" applyBorder="1" applyAlignment="1">
      <alignment horizontal="center" vertical="center"/>
    </xf>
    <xf numFmtId="44" fontId="0" fillId="5" borderId="1" xfId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6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4" fontId="3" fillId="8" borderId="1" xfId="1" applyFont="1" applyFill="1" applyBorder="1" applyAlignment="1">
      <alignment horizontal="center" vertical="center"/>
    </xf>
    <xf numFmtId="44" fontId="2" fillId="8" borderId="7" xfId="1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4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3" fillId="8" borderId="2" xfId="0" applyFont="1" applyFill="1" applyBorder="1" applyAlignment="1">
      <alignment vertical="center"/>
    </xf>
    <xf numFmtId="0" fontId="3" fillId="8" borderId="3" xfId="0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3" fillId="8" borderId="4" xfId="0" applyFont="1" applyFill="1" applyBorder="1" applyAlignment="1">
      <alignment vertical="center"/>
    </xf>
    <xf numFmtId="10" fontId="0" fillId="0" borderId="1" xfId="2" applyNumberFormat="1" applyFont="1" applyBorder="1" applyAlignment="1">
      <alignment vertical="center"/>
    </xf>
    <xf numFmtId="10" fontId="0" fillId="0" borderId="1" xfId="2" applyNumberFormat="1" applyFont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/>
    </xf>
    <xf numFmtId="44" fontId="0" fillId="0" borderId="1" xfId="0" applyNumberFormat="1" applyBorder="1"/>
    <xf numFmtId="10" fontId="0" fillId="0" borderId="1" xfId="2" applyNumberFormat="1" applyFont="1" applyBorder="1"/>
    <xf numFmtId="44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4" fontId="8" fillId="0" borderId="0" xfId="1" applyFont="1" applyAlignment="1">
      <alignment horizontal="center" vertical="center"/>
    </xf>
    <xf numFmtId="0" fontId="2" fillId="8" borderId="7" xfId="0" applyFont="1" applyFill="1" applyBorder="1" applyAlignment="1">
      <alignment horizontal="right" vertical="center"/>
    </xf>
    <xf numFmtId="0" fontId="2" fillId="8" borderId="7" xfId="0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3" fillId="8" borderId="4" xfId="0" applyFont="1" applyFill="1" applyBorder="1" applyAlignment="1">
      <alignment horizontal="center" vertical="center"/>
    </xf>
    <xf numFmtId="44" fontId="3" fillId="8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3"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0" tint="-0.1499984740745262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EF9BDD-2EA3-43CD-A30A-E5E679F7B702}" name="Table063__Page_32_33" displayName="Table063__Page_32_33" ref="A1:G39" totalsRowShown="0" headerRowDxfId="2" headerRowBorderDxfId="1">
  <tableColumns count="7">
    <tableColumn id="1" xr3:uid="{38AC8E18-5591-4C67-B5E6-87CB335BBD9C}" name="ÓRGÃO"/>
    <tableColumn id="2" xr3:uid="{33ACF872-DB0D-429D-865A-70A69F33AE1D}" name="SIGLA"/>
    <tableColumn id="3" xr3:uid="{E0641F5A-84E3-4304-BFAB-AA66074CD017}" name="CONTRATO / TERMO_x000a_DE ADESÃO"/>
    <tableColumn id="4" xr3:uid="{255BBD13-A7B6-4C81-B156-A5877F2E7951}" name="SERVIÇOS CONTRATADOS"/>
    <tableColumn id="5" xr3:uid="{F5F0188F-E280-43F5-8E02-3927A0750998}" name="ASSINATURA"/>
    <tableColumn id="6" xr3:uid="{55E14359-D331-4C44-9FCC-D30D31BF63FD}" name="VIGÊNCIA"/>
    <tableColumn id="7" xr3:uid="{EDAC0374-0485-4B66-9F47-C7E974FA45F0}" name="DOC. SE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95D9-8543-413F-BA07-E33A9A63C3B2}">
  <dimension ref="A1:C21"/>
  <sheetViews>
    <sheetView tabSelected="1" workbookViewId="0">
      <selection activeCell="C33" sqref="C33"/>
    </sheetView>
  </sheetViews>
  <sheetFormatPr defaultRowHeight="15" x14ac:dyDescent="0.25"/>
  <cols>
    <col min="1" max="1" width="7.28515625" style="46" bestFit="1" customWidth="1"/>
    <col min="2" max="2" width="51.5703125" style="46" bestFit="1" customWidth="1"/>
    <col min="3" max="3" width="18.140625" style="46" bestFit="1" customWidth="1"/>
    <col min="4" max="16384" width="9.140625" style="46"/>
  </cols>
  <sheetData>
    <row r="1" spans="1:3" x14ac:dyDescent="0.25">
      <c r="A1" s="13" t="s">
        <v>0</v>
      </c>
      <c r="B1" s="13" t="s">
        <v>1</v>
      </c>
      <c r="C1" s="13" t="s">
        <v>2</v>
      </c>
    </row>
    <row r="2" spans="1:3" x14ac:dyDescent="0.25">
      <c r="A2" s="47">
        <v>1</v>
      </c>
      <c r="B2" s="48" t="s">
        <v>3</v>
      </c>
      <c r="C2" s="49">
        <v>345746959.75</v>
      </c>
    </row>
    <row r="3" spans="1:3" x14ac:dyDescent="0.25">
      <c r="A3" s="47">
        <v>2</v>
      </c>
      <c r="B3" s="48" t="s">
        <v>4</v>
      </c>
      <c r="C3" s="49">
        <v>30377375.760000002</v>
      </c>
    </row>
    <row r="4" spans="1:3" x14ac:dyDescent="0.25">
      <c r="A4" s="47">
        <v>3</v>
      </c>
      <c r="B4" s="48" t="s">
        <v>5</v>
      </c>
      <c r="C4" s="49">
        <v>1272440</v>
      </c>
    </row>
    <row r="5" spans="1:3" x14ac:dyDescent="0.25">
      <c r="A5" s="47">
        <v>4</v>
      </c>
      <c r="B5" s="48" t="s">
        <v>6</v>
      </c>
      <c r="C5" s="49">
        <v>148617.84</v>
      </c>
    </row>
    <row r="6" spans="1:3" x14ac:dyDescent="0.25">
      <c r="A6" s="47">
        <v>5</v>
      </c>
      <c r="B6" s="48" t="s">
        <v>7</v>
      </c>
      <c r="C6" s="49">
        <v>1942636.88</v>
      </c>
    </row>
    <row r="7" spans="1:3" x14ac:dyDescent="0.25">
      <c r="A7" s="47">
        <v>6</v>
      </c>
      <c r="B7" s="48" t="s">
        <v>8</v>
      </c>
      <c r="C7" s="49">
        <v>5250375.13</v>
      </c>
    </row>
    <row r="8" spans="1:3" x14ac:dyDescent="0.25">
      <c r="A8" s="47">
        <v>7</v>
      </c>
      <c r="B8" s="48" t="s">
        <v>9</v>
      </c>
      <c r="C8" s="49">
        <v>19277851.890000001</v>
      </c>
    </row>
    <row r="9" spans="1:3" x14ac:dyDescent="0.25">
      <c r="A9" s="47">
        <v>8</v>
      </c>
      <c r="B9" s="48" t="s">
        <v>10</v>
      </c>
      <c r="C9" s="49">
        <v>78885.84</v>
      </c>
    </row>
    <row r="10" spans="1:3" x14ac:dyDescent="0.25">
      <c r="A10" s="47">
        <v>9</v>
      </c>
      <c r="B10" s="48" t="s">
        <v>11</v>
      </c>
      <c r="C10" s="49">
        <v>113940.72</v>
      </c>
    </row>
    <row r="11" spans="1:3" x14ac:dyDescent="0.25">
      <c r="A11" s="47">
        <v>10</v>
      </c>
      <c r="B11" s="48" t="s">
        <v>12</v>
      </c>
      <c r="C11" s="49">
        <v>61248</v>
      </c>
    </row>
    <row r="12" spans="1:3" x14ac:dyDescent="0.25">
      <c r="A12" s="47">
        <v>11</v>
      </c>
      <c r="B12" s="48" t="s">
        <v>13</v>
      </c>
      <c r="C12" s="49">
        <v>281642.90000000002</v>
      </c>
    </row>
    <row r="13" spans="1:3" x14ac:dyDescent="0.25">
      <c r="A13" s="47">
        <v>12</v>
      </c>
      <c r="B13" s="48" t="s">
        <v>14</v>
      </c>
      <c r="C13" s="49">
        <v>343927.12</v>
      </c>
    </row>
    <row r="14" spans="1:3" x14ac:dyDescent="0.25">
      <c r="A14" s="47">
        <v>13</v>
      </c>
      <c r="B14" s="48" t="s">
        <v>15</v>
      </c>
      <c r="C14" s="49">
        <v>1217162.3999999999</v>
      </c>
    </row>
    <row r="15" spans="1:3" x14ac:dyDescent="0.25">
      <c r="A15" s="47">
        <v>14</v>
      </c>
      <c r="B15" s="48" t="s">
        <v>16</v>
      </c>
      <c r="C15" s="49">
        <v>2194274.4</v>
      </c>
    </row>
    <row r="16" spans="1:3" x14ac:dyDescent="0.25">
      <c r="A16" s="47">
        <v>15</v>
      </c>
      <c r="B16" s="48" t="s">
        <v>17</v>
      </c>
      <c r="C16" s="49">
        <v>989948.64</v>
      </c>
    </row>
    <row r="17" spans="1:3" x14ac:dyDescent="0.25">
      <c r="A17" s="47">
        <v>16</v>
      </c>
      <c r="B17" s="48" t="s">
        <v>18</v>
      </c>
      <c r="C17" s="49">
        <v>48709.2</v>
      </c>
    </row>
    <row r="18" spans="1:3" x14ac:dyDescent="0.25">
      <c r="A18" s="47">
        <v>17</v>
      </c>
      <c r="B18" s="48" t="s">
        <v>19</v>
      </c>
      <c r="C18" s="49">
        <v>20000000</v>
      </c>
    </row>
    <row r="19" spans="1:3" x14ac:dyDescent="0.25">
      <c r="A19" s="50" t="s">
        <v>20</v>
      </c>
      <c r="B19" s="50"/>
      <c r="C19" s="12">
        <f>SUM(C2:C18)</f>
        <v>429345996.46999985</v>
      </c>
    </row>
    <row r="20" spans="1:3" x14ac:dyDescent="0.25">
      <c r="A20" s="47">
        <v>18</v>
      </c>
      <c r="B20" s="48" t="s">
        <v>21</v>
      </c>
      <c r="C20" s="49">
        <v>296383595.36000001</v>
      </c>
    </row>
    <row r="21" spans="1:3" ht="30" customHeight="1" x14ac:dyDescent="0.25">
      <c r="A21" s="51" t="s">
        <v>22</v>
      </c>
      <c r="B21" s="51"/>
      <c r="C21" s="12">
        <f>C19-C20</f>
        <v>132962401.10999984</v>
      </c>
    </row>
  </sheetData>
  <mergeCells count="2">
    <mergeCell ref="A19:B19"/>
    <mergeCell ref="A21:B2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1362-2D8C-428E-B084-95F8CAB3FD4F}">
  <dimension ref="A1:X164"/>
  <sheetViews>
    <sheetView zoomScale="90" zoomScaleNormal="90" workbookViewId="0">
      <selection activeCell="A28" sqref="A28:A29"/>
    </sheetView>
  </sheetViews>
  <sheetFormatPr defaultRowHeight="15" x14ac:dyDescent="0.25"/>
  <cols>
    <col min="1" max="1" width="55.85546875" style="20" bestFit="1" customWidth="1"/>
    <col min="2" max="2" width="19.7109375" style="20" customWidth="1"/>
    <col min="3" max="3" width="22.7109375" style="20" bestFit="1" customWidth="1"/>
    <col min="4" max="15" width="19.28515625" style="20" customWidth="1"/>
    <col min="16" max="17" width="22.5703125" style="20" customWidth="1"/>
    <col min="18" max="16384" width="9.140625" style="20"/>
  </cols>
  <sheetData>
    <row r="1" spans="1:24" ht="15.75" thickBot="1" x14ac:dyDescent="0.3">
      <c r="A1" s="53" t="s">
        <v>23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24" ht="15.75" customHeight="1" x14ac:dyDescent="0.25">
      <c r="A2" s="53" t="s">
        <v>35</v>
      </c>
      <c r="B2" s="5" t="s">
        <v>24</v>
      </c>
      <c r="C2" s="53" t="s">
        <v>26</v>
      </c>
      <c r="D2" s="52" t="s">
        <v>24</v>
      </c>
      <c r="E2" s="65" t="s">
        <v>41</v>
      </c>
      <c r="F2" s="66"/>
      <c r="G2" s="66"/>
      <c r="H2" s="66"/>
      <c r="I2" s="66"/>
      <c r="J2" s="66"/>
      <c r="K2" s="53" t="s">
        <v>304</v>
      </c>
      <c r="L2" s="52" t="s">
        <v>322</v>
      </c>
      <c r="M2" s="52" t="s">
        <v>29</v>
      </c>
      <c r="N2" s="52" t="s">
        <v>323</v>
      </c>
      <c r="O2" s="52" t="s">
        <v>324</v>
      </c>
      <c r="V2" s="62" t="s">
        <v>300</v>
      </c>
      <c r="W2" s="63"/>
      <c r="X2" s="64"/>
    </row>
    <row r="3" spans="1:24" x14ac:dyDescent="0.25">
      <c r="A3" s="53"/>
      <c r="B3" s="5" t="s">
        <v>25</v>
      </c>
      <c r="C3" s="53"/>
      <c r="D3" s="52"/>
      <c r="E3" s="5" t="s">
        <v>27</v>
      </c>
      <c r="F3" s="5" t="s">
        <v>308</v>
      </c>
      <c r="G3" s="5" t="s">
        <v>28</v>
      </c>
      <c r="H3" s="5" t="s">
        <v>309</v>
      </c>
      <c r="I3" s="11" t="s">
        <v>81</v>
      </c>
      <c r="J3" s="11" t="s">
        <v>310</v>
      </c>
      <c r="K3" s="53"/>
      <c r="L3" s="53"/>
      <c r="M3" s="53"/>
      <c r="N3" s="53"/>
      <c r="O3" s="53"/>
      <c r="V3" s="28"/>
      <c r="W3" s="58" t="s">
        <v>298</v>
      </c>
      <c r="X3" s="59"/>
    </row>
    <row r="4" spans="1:24" x14ac:dyDescent="0.25">
      <c r="A4" s="16" t="s">
        <v>30</v>
      </c>
      <c r="B4" s="7">
        <v>549.58000000000004</v>
      </c>
      <c r="C4" s="17" t="s">
        <v>329</v>
      </c>
      <c r="D4" s="40">
        <v>2481</v>
      </c>
      <c r="E4" s="3">
        <v>2171.96</v>
      </c>
      <c r="F4" s="3">
        <f>E4*1.052635</f>
        <v>2286.2811145999999</v>
      </c>
      <c r="G4" s="4">
        <v>2171.96</v>
      </c>
      <c r="H4" s="4">
        <f>G4*1.0654</f>
        <v>2314.0061839999998</v>
      </c>
      <c r="I4" s="8">
        <v>2171.96</v>
      </c>
      <c r="J4" s="8">
        <f>I4*1.035673</f>
        <v>2249.4403290800001</v>
      </c>
      <c r="K4" s="7">
        <f>AVERAGE(E4,G4,I4)</f>
        <v>2171.96</v>
      </c>
      <c r="L4" s="7">
        <f>AVERAGE(F4,H4,J4)</f>
        <v>2283.2425425599999</v>
      </c>
      <c r="M4" s="7">
        <v>2192.73</v>
      </c>
      <c r="N4" s="35">
        <f>((M4/K4)-1)</f>
        <v>9.5627912116245106E-3</v>
      </c>
      <c r="O4" s="35">
        <f>((M4/L4)-1)</f>
        <v>-3.9642105852896403E-2</v>
      </c>
      <c r="V4" s="29"/>
      <c r="W4" s="58" t="s">
        <v>302</v>
      </c>
      <c r="X4" s="59"/>
    </row>
    <row r="5" spans="1:24" x14ac:dyDescent="0.25">
      <c r="A5" s="16" t="s">
        <v>31</v>
      </c>
      <c r="B5" s="7">
        <v>852.09</v>
      </c>
      <c r="C5" s="17" t="s">
        <v>328</v>
      </c>
      <c r="D5" s="7" t="s">
        <v>32</v>
      </c>
      <c r="E5" s="3" t="s">
        <v>32</v>
      </c>
      <c r="F5" s="3" t="s">
        <v>32</v>
      </c>
      <c r="G5" s="4">
        <v>507.77</v>
      </c>
      <c r="H5" s="4">
        <f>G5*1.0654</f>
        <v>540.97815799999989</v>
      </c>
      <c r="I5" s="8">
        <v>507.77</v>
      </c>
      <c r="J5" s="8">
        <f t="shared" ref="J5" si="0">I5*1.035673</f>
        <v>525.88367920999997</v>
      </c>
      <c r="K5" s="7">
        <f>AVERAGE(E5,G5,I5)</f>
        <v>507.77</v>
      </c>
      <c r="L5" s="7">
        <f>AVERAGE(F5,H5,J5)</f>
        <v>533.43091860499999</v>
      </c>
      <c r="M5" s="7">
        <v>517.77</v>
      </c>
      <c r="N5" s="35">
        <f>((M5/K5)-1)</f>
        <v>1.9693955924926732E-2</v>
      </c>
      <c r="O5" s="35">
        <f>((M5/L5)-1)</f>
        <v>-2.9358850525491809E-2</v>
      </c>
      <c r="V5" s="30"/>
      <c r="W5" s="58" t="s">
        <v>299</v>
      </c>
      <c r="X5" s="59"/>
    </row>
    <row r="6" spans="1:24" x14ac:dyDescent="0.25">
      <c r="F6" s="21"/>
      <c r="J6"/>
      <c r="V6" s="31"/>
      <c r="W6" s="58" t="s">
        <v>301</v>
      </c>
      <c r="X6" s="59"/>
    </row>
    <row r="7" spans="1:24" ht="15.75" thickBot="1" x14ac:dyDescent="0.3">
      <c r="V7" s="32"/>
      <c r="W7" s="60" t="s">
        <v>303</v>
      </c>
      <c r="X7" s="61"/>
    </row>
    <row r="8" spans="1:24" x14ac:dyDescent="0.25">
      <c r="A8" s="53" t="s">
        <v>33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24" ht="30.75" customHeight="1" x14ac:dyDescent="0.25">
      <c r="A9" s="52" t="s">
        <v>35</v>
      </c>
      <c r="B9" s="52" t="s">
        <v>26</v>
      </c>
      <c r="C9" s="52" t="s">
        <v>24</v>
      </c>
      <c r="D9" s="53" t="s">
        <v>41</v>
      </c>
      <c r="E9" s="53"/>
      <c r="F9" s="53"/>
      <c r="G9" s="53"/>
      <c r="H9" s="53"/>
      <c r="I9" s="53"/>
      <c r="J9" s="53" t="s">
        <v>304</v>
      </c>
      <c r="K9" s="52" t="s">
        <v>322</v>
      </c>
      <c r="L9" s="52" t="s">
        <v>29</v>
      </c>
      <c r="M9" s="52" t="s">
        <v>323</v>
      </c>
      <c r="N9" s="52" t="s">
        <v>324</v>
      </c>
    </row>
    <row r="10" spans="1:24" x14ac:dyDescent="0.25">
      <c r="A10" s="52"/>
      <c r="B10" s="52"/>
      <c r="C10" s="52"/>
      <c r="D10" s="5" t="s">
        <v>27</v>
      </c>
      <c r="E10" s="5" t="s">
        <v>308</v>
      </c>
      <c r="F10" s="5" t="s">
        <v>28</v>
      </c>
      <c r="G10" s="5" t="s">
        <v>297</v>
      </c>
      <c r="H10" s="5" t="s">
        <v>36</v>
      </c>
      <c r="I10" s="5" t="s">
        <v>311</v>
      </c>
      <c r="J10" s="53"/>
      <c r="K10" s="53"/>
      <c r="L10" s="52"/>
      <c r="M10" s="53"/>
      <c r="N10" s="53"/>
    </row>
    <row r="11" spans="1:24" x14ac:dyDescent="0.25">
      <c r="A11" s="16" t="s">
        <v>37</v>
      </c>
      <c r="B11" s="17" t="s">
        <v>38</v>
      </c>
      <c r="C11" s="17">
        <v>549.22</v>
      </c>
      <c r="D11" s="3" t="s">
        <v>32</v>
      </c>
      <c r="E11" s="3" t="s">
        <v>32</v>
      </c>
      <c r="F11" s="4" t="s">
        <v>32</v>
      </c>
      <c r="G11" s="4" t="s">
        <v>32</v>
      </c>
      <c r="H11" s="3" t="s">
        <v>32</v>
      </c>
      <c r="I11" s="3" t="s">
        <v>32</v>
      </c>
      <c r="J11" s="7" t="s">
        <v>32</v>
      </c>
      <c r="K11" s="7" t="s">
        <v>32</v>
      </c>
      <c r="L11" s="7" t="s">
        <v>32</v>
      </c>
      <c r="M11" s="7" t="s">
        <v>32</v>
      </c>
      <c r="N11" s="7" t="s">
        <v>32</v>
      </c>
    </row>
    <row r="12" spans="1:24" x14ac:dyDescent="0.25">
      <c r="A12" s="16" t="s">
        <v>39</v>
      </c>
      <c r="B12" s="17" t="s">
        <v>38</v>
      </c>
      <c r="C12" s="17">
        <v>852.87</v>
      </c>
      <c r="D12" s="3" t="s">
        <v>32</v>
      </c>
      <c r="E12" s="3" t="s">
        <v>32</v>
      </c>
      <c r="F12" s="4" t="s">
        <v>32</v>
      </c>
      <c r="G12" s="4" t="s">
        <v>32</v>
      </c>
      <c r="H12" s="3" t="s">
        <v>32</v>
      </c>
      <c r="I12" s="3" t="s">
        <v>32</v>
      </c>
      <c r="J12" s="7" t="s">
        <v>32</v>
      </c>
      <c r="K12" s="7" t="s">
        <v>32</v>
      </c>
      <c r="L12" s="7" t="s">
        <v>32</v>
      </c>
      <c r="M12" s="7" t="s">
        <v>32</v>
      </c>
      <c r="N12" s="7" t="s">
        <v>32</v>
      </c>
    </row>
    <row r="13" spans="1:24" x14ac:dyDescent="0.25">
      <c r="A13" s="16" t="s">
        <v>5</v>
      </c>
      <c r="B13" s="17" t="s">
        <v>38</v>
      </c>
      <c r="C13" s="17" t="s">
        <v>32</v>
      </c>
      <c r="D13" s="3">
        <v>635.87</v>
      </c>
      <c r="E13" s="3">
        <f>D13*1.052635</f>
        <v>669.33901745000003</v>
      </c>
      <c r="F13" s="4">
        <v>635.87</v>
      </c>
      <c r="G13" s="4">
        <f>F13*1.0654</f>
        <v>677.45589799999993</v>
      </c>
      <c r="H13" s="3">
        <v>635.87</v>
      </c>
      <c r="I13" s="3">
        <f>H13*1.037494</f>
        <v>659.71130977999997</v>
      </c>
      <c r="J13" s="7">
        <f>AVERAGE(D13,F13,H13)</f>
        <v>635.87</v>
      </c>
      <c r="K13" s="7">
        <f>AVERAGE(E13,G13,I13)</f>
        <v>668.83540841000001</v>
      </c>
      <c r="L13" s="7">
        <v>636.22</v>
      </c>
      <c r="M13" s="35">
        <f>(L13/J13)-1</f>
        <v>5.50426974067042E-4</v>
      </c>
      <c r="N13" s="35">
        <f>(L13/K13)-1</f>
        <v>-4.8764476282042946E-2</v>
      </c>
    </row>
    <row r="16" spans="1:24" x14ac:dyDescent="0.25">
      <c r="A16" s="53" t="s">
        <v>40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7" ht="30.75" customHeight="1" x14ac:dyDescent="0.25">
      <c r="A17" s="53" t="s">
        <v>35</v>
      </c>
      <c r="B17" s="52" t="s">
        <v>305</v>
      </c>
      <c r="C17" s="53" t="s">
        <v>26</v>
      </c>
      <c r="D17" s="53" t="s">
        <v>41</v>
      </c>
      <c r="E17" s="53"/>
      <c r="F17" s="53"/>
      <c r="G17" s="53"/>
      <c r="H17" s="53"/>
      <c r="I17" s="53"/>
      <c r="J17" s="53"/>
      <c r="K17" s="53"/>
      <c r="L17" s="53" t="s">
        <v>304</v>
      </c>
      <c r="M17" s="52" t="s">
        <v>322</v>
      </c>
      <c r="N17" s="52" t="s">
        <v>29</v>
      </c>
      <c r="O17" s="52" t="s">
        <v>323</v>
      </c>
      <c r="P17" s="52" t="s">
        <v>324</v>
      </c>
    </row>
    <row r="18" spans="1:17" ht="15" customHeight="1" x14ac:dyDescent="0.25">
      <c r="A18" s="53"/>
      <c r="B18" s="52"/>
      <c r="C18" s="53"/>
      <c r="D18" s="5" t="s">
        <v>27</v>
      </c>
      <c r="E18" s="5" t="s">
        <v>308</v>
      </c>
      <c r="F18" s="5" t="s">
        <v>42</v>
      </c>
      <c r="G18" s="5" t="s">
        <v>43</v>
      </c>
      <c r="H18" s="5" t="s">
        <v>312</v>
      </c>
      <c r="I18" s="5" t="s">
        <v>28</v>
      </c>
      <c r="J18" s="5" t="s">
        <v>297</v>
      </c>
      <c r="K18" s="5" t="s">
        <v>44</v>
      </c>
      <c r="L18" s="53"/>
      <c r="M18" s="53"/>
      <c r="N18" s="52"/>
      <c r="O18" s="53"/>
      <c r="P18" s="53"/>
    </row>
    <row r="19" spans="1:17" x14ac:dyDescent="0.25">
      <c r="A19" s="16" t="s">
        <v>45</v>
      </c>
      <c r="B19" s="17" t="s">
        <v>46</v>
      </c>
      <c r="C19" s="17" t="s">
        <v>330</v>
      </c>
      <c r="D19" s="3"/>
      <c r="E19" s="3"/>
      <c r="F19" s="6"/>
      <c r="G19" s="3"/>
      <c r="H19" s="3"/>
      <c r="I19" s="4"/>
      <c r="J19" s="4"/>
      <c r="K19" s="6"/>
      <c r="L19" s="7"/>
      <c r="M19" s="7"/>
      <c r="N19" s="7">
        <v>86.04</v>
      </c>
      <c r="O19" s="17" t="s">
        <v>32</v>
      </c>
      <c r="P19" s="17" t="s">
        <v>32</v>
      </c>
    </row>
    <row r="20" spans="1:17" x14ac:dyDescent="0.25">
      <c r="A20" s="16" t="s">
        <v>47</v>
      </c>
      <c r="B20" s="7">
        <v>86.16</v>
      </c>
      <c r="C20" s="17" t="s">
        <v>330</v>
      </c>
      <c r="D20" s="3">
        <v>63.12</v>
      </c>
      <c r="E20" s="3">
        <f>D20*1.052635</f>
        <v>66.442321199999995</v>
      </c>
      <c r="F20" s="6"/>
      <c r="G20" s="3">
        <v>80.540000000000006</v>
      </c>
      <c r="H20" s="3">
        <f t="shared" ref="H20:H22" si="1">G20*1.0696</f>
        <v>86.145584000000014</v>
      </c>
      <c r="I20" s="4"/>
      <c r="J20" s="4"/>
      <c r="K20" s="6">
        <v>94.52</v>
      </c>
      <c r="L20" s="7">
        <f t="shared" ref="L20:L24" si="2">AVERAGE(D20,F20,G20,I20,K20)</f>
        <v>79.393333333333331</v>
      </c>
      <c r="M20" s="7">
        <f t="shared" ref="M20:M24" si="3">AVERAGE(E20,F20,H20,J20,K20)</f>
        <v>82.36930173333333</v>
      </c>
      <c r="N20" s="7">
        <v>94.52</v>
      </c>
      <c r="O20" s="35">
        <f>(N20/L20)-1</f>
        <v>0.19052817197077832</v>
      </c>
      <c r="P20" s="35">
        <f>(N20/M20)-1</f>
        <v>0.14751488735456286</v>
      </c>
    </row>
    <row r="21" spans="1:17" x14ac:dyDescent="0.25">
      <c r="A21" s="16" t="s">
        <v>48</v>
      </c>
      <c r="B21" s="7">
        <v>47.58</v>
      </c>
      <c r="C21" s="17" t="s">
        <v>330</v>
      </c>
      <c r="D21" s="3">
        <v>75.27</v>
      </c>
      <c r="E21" s="3">
        <f t="shared" ref="E21:E23" si="4">D21*1.052635</f>
        <v>79.231836449999989</v>
      </c>
      <c r="F21" s="6"/>
      <c r="G21" s="3">
        <v>96.05</v>
      </c>
      <c r="H21" s="3">
        <f t="shared" si="1"/>
        <v>102.73508000000001</v>
      </c>
      <c r="I21" s="4"/>
      <c r="J21" s="4"/>
      <c r="K21" s="6">
        <v>75.27</v>
      </c>
      <c r="L21" s="7">
        <f t="shared" si="2"/>
        <v>82.196666666666658</v>
      </c>
      <c r="M21" s="7">
        <f t="shared" si="3"/>
        <v>85.745638816666656</v>
      </c>
      <c r="N21" s="7">
        <v>75.27</v>
      </c>
      <c r="O21" s="35">
        <f t="shared" ref="O21:O24" si="5">(N21/L21)-1</f>
        <v>-8.4269435094691536E-2</v>
      </c>
      <c r="P21" s="35">
        <f t="shared" ref="P21:P24" si="6">(N21/M21)-1</f>
        <v>-0.12217109769354795</v>
      </c>
    </row>
    <row r="22" spans="1:17" x14ac:dyDescent="0.25">
      <c r="A22" s="16" t="s">
        <v>49</v>
      </c>
      <c r="B22" s="7">
        <v>1613.06</v>
      </c>
      <c r="C22" s="17" t="s">
        <v>330</v>
      </c>
      <c r="D22" s="3">
        <v>1181.3</v>
      </c>
      <c r="E22" s="3">
        <f t="shared" si="4"/>
        <v>1243.4777254999999</v>
      </c>
      <c r="F22" s="6"/>
      <c r="G22" s="3">
        <v>1507.37</v>
      </c>
      <c r="H22" s="3">
        <f t="shared" si="1"/>
        <v>1612.282952</v>
      </c>
      <c r="I22" s="4">
        <v>1181.3</v>
      </c>
      <c r="J22" s="4">
        <f>I22*1.0654</f>
        <v>1258.5570199999997</v>
      </c>
      <c r="K22" s="6">
        <v>1181.3</v>
      </c>
      <c r="L22" s="7">
        <f t="shared" si="2"/>
        <v>1262.8175000000001</v>
      </c>
      <c r="M22" s="7">
        <f t="shared" si="3"/>
        <v>1323.904424375</v>
      </c>
      <c r="N22" s="7">
        <v>1181.3</v>
      </c>
      <c r="O22" s="35">
        <f t="shared" si="5"/>
        <v>-6.4552082941517819E-2</v>
      </c>
      <c r="P22" s="35">
        <f t="shared" si="6"/>
        <v>-0.10771504479435656</v>
      </c>
    </row>
    <row r="23" spans="1:17" x14ac:dyDescent="0.25">
      <c r="A23" s="16" t="s">
        <v>50</v>
      </c>
      <c r="B23" s="17" t="s">
        <v>46</v>
      </c>
      <c r="C23" s="17" t="s">
        <v>330</v>
      </c>
      <c r="D23" s="3">
        <v>191.23</v>
      </c>
      <c r="E23" s="3">
        <f t="shared" si="4"/>
        <v>201.29539104999998</v>
      </c>
      <c r="F23" s="6"/>
      <c r="G23" s="3"/>
      <c r="H23" s="3"/>
      <c r="I23" s="4"/>
      <c r="J23" s="4"/>
      <c r="K23" s="6"/>
      <c r="L23" s="7">
        <f t="shared" si="2"/>
        <v>191.23</v>
      </c>
      <c r="M23" s="7">
        <f t="shared" si="3"/>
        <v>201.29539104999998</v>
      </c>
      <c r="N23" s="7">
        <v>191.23</v>
      </c>
      <c r="O23" s="35">
        <f t="shared" si="5"/>
        <v>0</v>
      </c>
      <c r="P23" s="35">
        <f t="shared" si="6"/>
        <v>-5.0003087489965625E-2</v>
      </c>
    </row>
    <row r="24" spans="1:17" x14ac:dyDescent="0.25">
      <c r="A24" s="16" t="s">
        <v>51</v>
      </c>
      <c r="B24" s="17" t="s">
        <v>46</v>
      </c>
      <c r="C24" s="17" t="s">
        <v>330</v>
      </c>
      <c r="D24" s="3"/>
      <c r="E24" s="3"/>
      <c r="F24" s="6">
        <v>169.47</v>
      </c>
      <c r="G24" s="3"/>
      <c r="H24" s="3"/>
      <c r="I24" s="4"/>
      <c r="J24" s="4"/>
      <c r="K24" s="6"/>
      <c r="L24" s="7">
        <f t="shared" si="2"/>
        <v>169.47</v>
      </c>
      <c r="M24" s="7">
        <f t="shared" si="3"/>
        <v>169.47</v>
      </c>
      <c r="N24" s="7">
        <v>169.47</v>
      </c>
      <c r="O24" s="35">
        <f t="shared" si="5"/>
        <v>0</v>
      </c>
      <c r="P24" s="35">
        <f t="shared" si="6"/>
        <v>0</v>
      </c>
    </row>
    <row r="25" spans="1:17" x14ac:dyDescent="0.25">
      <c r="G25" s="70"/>
      <c r="H25" s="70"/>
      <c r="I25" s="70"/>
      <c r="J25" s="70"/>
    </row>
    <row r="27" spans="1:17" x14ac:dyDescent="0.25">
      <c r="A27" s="53" t="s">
        <v>52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1:17" ht="15" customHeight="1" x14ac:dyDescent="0.25">
      <c r="A28" s="52" t="s">
        <v>306</v>
      </c>
      <c r="B28" s="52" t="s">
        <v>305</v>
      </c>
      <c r="C28" s="53" t="s">
        <v>53</v>
      </c>
      <c r="D28" s="53" t="s">
        <v>41</v>
      </c>
      <c r="E28" s="53"/>
      <c r="F28" s="53"/>
      <c r="G28" s="53"/>
      <c r="H28" s="53"/>
      <c r="I28" s="53"/>
      <c r="J28" s="53"/>
      <c r="K28" s="53"/>
      <c r="L28" s="53"/>
      <c r="M28" s="52" t="s">
        <v>304</v>
      </c>
      <c r="N28" s="52" t="s">
        <v>322</v>
      </c>
      <c r="O28" s="52" t="s">
        <v>29</v>
      </c>
      <c r="P28" s="52" t="s">
        <v>323</v>
      </c>
      <c r="Q28" s="52" t="s">
        <v>324</v>
      </c>
    </row>
    <row r="29" spans="1:17" x14ac:dyDescent="0.25">
      <c r="A29" s="53"/>
      <c r="B29" s="52"/>
      <c r="C29" s="53"/>
      <c r="D29" s="5" t="s">
        <v>54</v>
      </c>
      <c r="E29" s="5" t="s">
        <v>313</v>
      </c>
      <c r="F29" s="5" t="s">
        <v>55</v>
      </c>
      <c r="G29" s="5" t="s">
        <v>56</v>
      </c>
      <c r="H29" s="5" t="s">
        <v>43</v>
      </c>
      <c r="I29" s="5" t="s">
        <v>312</v>
      </c>
      <c r="J29" s="5" t="s">
        <v>57</v>
      </c>
      <c r="K29" s="5" t="s">
        <v>314</v>
      </c>
      <c r="L29" s="5" t="s">
        <v>58</v>
      </c>
      <c r="M29" s="52"/>
      <c r="N29" s="53"/>
      <c r="O29" s="52"/>
      <c r="P29" s="53"/>
      <c r="Q29" s="53"/>
    </row>
    <row r="30" spans="1:17" x14ac:dyDescent="0.25">
      <c r="A30" s="16" t="s">
        <v>59</v>
      </c>
      <c r="B30" s="17" t="s">
        <v>46</v>
      </c>
      <c r="C30" s="17" t="s">
        <v>331</v>
      </c>
      <c r="D30" s="3">
        <v>7960</v>
      </c>
      <c r="E30" s="3">
        <f>D30*1.037494</f>
        <v>8258.4522399999987</v>
      </c>
      <c r="F30" s="36">
        <v>9950</v>
      </c>
      <c r="G30" s="6">
        <v>7960</v>
      </c>
      <c r="H30" s="4">
        <v>8449.85</v>
      </c>
      <c r="I30" s="4">
        <v>8821.64</v>
      </c>
      <c r="J30" s="4">
        <v>6207.15</v>
      </c>
      <c r="K30" s="4">
        <v>6207.15</v>
      </c>
      <c r="L30" s="6"/>
      <c r="M30" s="42">
        <f>AVERAGE(D30,F30,G30,H30,J30,L30)</f>
        <v>8105.4</v>
      </c>
      <c r="N30" s="42">
        <f>AVERAGE(E30,F30,G30,I30,K30,L30)</f>
        <v>8239.4484479999992</v>
      </c>
      <c r="O30" s="7">
        <v>7960</v>
      </c>
      <c r="P30" s="35">
        <f>(O30/M30)-1</f>
        <v>-1.7938658178498268E-2</v>
      </c>
      <c r="Q30" s="35">
        <f>(O30/N30)-1</f>
        <v>-3.3915916795113965E-2</v>
      </c>
    </row>
    <row r="31" spans="1:17" x14ac:dyDescent="0.25">
      <c r="A31" s="16" t="s">
        <v>60</v>
      </c>
      <c r="B31" s="7">
        <v>86.16</v>
      </c>
      <c r="C31" s="17" t="s">
        <v>332</v>
      </c>
      <c r="D31" s="3"/>
      <c r="E31" s="3"/>
      <c r="F31" s="6"/>
      <c r="G31" s="6">
        <v>2560</v>
      </c>
      <c r="H31" s="4">
        <v>2717.54</v>
      </c>
      <c r="I31" s="4">
        <v>2837.11</v>
      </c>
      <c r="J31" s="4">
        <v>3678.31</v>
      </c>
      <c r="K31" s="4">
        <v>3678.31</v>
      </c>
      <c r="L31" s="6"/>
      <c r="M31" s="42">
        <f t="shared" ref="M31:M38" si="7">AVERAGE(D31,F31,G31,H31,J31,L31)</f>
        <v>2985.2833333333333</v>
      </c>
      <c r="N31" s="42">
        <f t="shared" ref="N31:N38" si="8">AVERAGE(E31,F31,G31,I31,K31,L31)</f>
        <v>3025.14</v>
      </c>
      <c r="O31" s="7">
        <v>2560</v>
      </c>
      <c r="P31" s="35">
        <f t="shared" ref="P31:P38" si="9">(O31/M31)-1</f>
        <v>-0.14245995634138575</v>
      </c>
      <c r="Q31" s="35">
        <f t="shared" ref="Q31:Q38" si="10">(O31/N31)-1</f>
        <v>-0.15375817317545626</v>
      </c>
    </row>
    <row r="32" spans="1:17" x14ac:dyDescent="0.25">
      <c r="A32" s="16" t="s">
        <v>61</v>
      </c>
      <c r="B32" s="7">
        <v>47.58</v>
      </c>
      <c r="C32" s="17" t="s">
        <v>333</v>
      </c>
      <c r="D32" s="3">
        <v>784.77</v>
      </c>
      <c r="E32" s="3">
        <f t="shared" ref="E32:E36" si="11">D32*1.037494</f>
        <v>814.19416637999996</v>
      </c>
      <c r="F32" s="6"/>
      <c r="G32" s="6">
        <v>784.77</v>
      </c>
      <c r="H32" s="4">
        <v>833.07</v>
      </c>
      <c r="I32" s="4">
        <v>869.73</v>
      </c>
      <c r="J32" s="4"/>
      <c r="K32" s="4"/>
      <c r="L32" s="6"/>
      <c r="M32" s="42">
        <f t="shared" si="7"/>
        <v>800.87</v>
      </c>
      <c r="N32" s="42">
        <f t="shared" si="8"/>
        <v>822.89805545999991</v>
      </c>
      <c r="O32" s="7">
        <v>784.77</v>
      </c>
      <c r="P32" s="35">
        <f t="shared" si="9"/>
        <v>-2.0103137837601648E-2</v>
      </c>
      <c r="Q32" s="35">
        <f t="shared" si="10"/>
        <v>-4.6333874781957496E-2</v>
      </c>
    </row>
    <row r="33" spans="1:17" x14ac:dyDescent="0.25">
      <c r="A33" s="16" t="s">
        <v>62</v>
      </c>
      <c r="B33" s="17" t="s">
        <v>32</v>
      </c>
      <c r="C33" s="17" t="s">
        <v>63</v>
      </c>
      <c r="D33" s="3"/>
      <c r="E33" s="3"/>
      <c r="F33" s="6"/>
      <c r="G33" s="6"/>
      <c r="H33" s="4"/>
      <c r="I33" s="4"/>
      <c r="J33" s="4">
        <v>40.229999999999997</v>
      </c>
      <c r="K33" s="4">
        <f>J33*1.0461</f>
        <v>42.084603000000001</v>
      </c>
      <c r="L33" s="6">
        <v>16</v>
      </c>
      <c r="M33" s="42">
        <f t="shared" si="7"/>
        <v>28.114999999999998</v>
      </c>
      <c r="N33" s="42">
        <f t="shared" si="8"/>
        <v>29.042301500000001</v>
      </c>
      <c r="O33" s="7">
        <v>16</v>
      </c>
      <c r="P33" s="35">
        <f t="shared" si="9"/>
        <v>-0.43090876756179974</v>
      </c>
      <c r="Q33" s="35">
        <f t="shared" si="10"/>
        <v>-0.44907947464149833</v>
      </c>
    </row>
    <row r="34" spans="1:17" x14ac:dyDescent="0.25">
      <c r="A34" s="16" t="s">
        <v>64</v>
      </c>
      <c r="B34" s="7">
        <v>83.58</v>
      </c>
      <c r="C34" s="17" t="s">
        <v>63</v>
      </c>
      <c r="D34" s="3"/>
      <c r="E34" s="3"/>
      <c r="F34" s="6"/>
      <c r="G34" s="6"/>
      <c r="H34" s="4"/>
      <c r="I34" s="4"/>
      <c r="J34" s="4"/>
      <c r="K34" s="4"/>
      <c r="L34" s="6"/>
      <c r="M34" s="42"/>
      <c r="N34" s="42"/>
      <c r="O34" s="7" t="s">
        <v>32</v>
      </c>
      <c r="P34" s="7" t="s">
        <v>32</v>
      </c>
      <c r="Q34" s="7" t="s">
        <v>32</v>
      </c>
    </row>
    <row r="35" spans="1:17" x14ac:dyDescent="0.25">
      <c r="A35" s="16" t="s">
        <v>65</v>
      </c>
      <c r="B35" s="17" t="s">
        <v>32</v>
      </c>
      <c r="C35" s="17" t="s">
        <v>63</v>
      </c>
      <c r="D35" s="3"/>
      <c r="E35" s="3"/>
      <c r="F35" s="6"/>
      <c r="G35" s="6"/>
      <c r="H35" s="4"/>
      <c r="I35" s="4"/>
      <c r="J35" s="4"/>
      <c r="K35" s="4"/>
      <c r="L35" s="6"/>
      <c r="M35" s="42"/>
      <c r="N35" s="42"/>
      <c r="O35" s="7" t="s">
        <v>32</v>
      </c>
      <c r="P35" s="7" t="s">
        <v>32</v>
      </c>
      <c r="Q35" s="7" t="s">
        <v>32</v>
      </c>
    </row>
    <row r="36" spans="1:17" x14ac:dyDescent="0.25">
      <c r="A36" s="16" t="s">
        <v>66</v>
      </c>
      <c r="B36" s="17" t="s">
        <v>32</v>
      </c>
      <c r="C36" s="17" t="s">
        <v>63</v>
      </c>
      <c r="D36" s="3">
        <v>24</v>
      </c>
      <c r="E36" s="3">
        <f t="shared" si="11"/>
        <v>24.899856</v>
      </c>
      <c r="F36" s="6"/>
      <c r="G36" s="6"/>
      <c r="H36" s="4"/>
      <c r="I36" s="4"/>
      <c r="J36" s="4"/>
      <c r="K36" s="4"/>
      <c r="L36" s="6"/>
      <c r="M36" s="42">
        <f t="shared" si="7"/>
        <v>24</v>
      </c>
      <c r="N36" s="42">
        <f t="shared" si="8"/>
        <v>24.899856</v>
      </c>
      <c r="O36" s="7" t="s">
        <v>32</v>
      </c>
      <c r="P36" s="7" t="s">
        <v>32</v>
      </c>
      <c r="Q36" s="7" t="s">
        <v>32</v>
      </c>
    </row>
    <row r="37" spans="1:17" x14ac:dyDescent="0.25">
      <c r="A37" s="16" t="s">
        <v>69</v>
      </c>
      <c r="B37" s="17" t="s">
        <v>46</v>
      </c>
      <c r="C37" s="17" t="s">
        <v>63</v>
      </c>
      <c r="D37" s="3"/>
      <c r="E37" s="3"/>
      <c r="F37" s="6"/>
      <c r="G37" s="6"/>
      <c r="H37" s="4"/>
      <c r="I37" s="4"/>
      <c r="J37" s="4"/>
      <c r="K37" s="4"/>
      <c r="L37" s="6">
        <v>16</v>
      </c>
      <c r="M37" s="42">
        <f t="shared" si="7"/>
        <v>16</v>
      </c>
      <c r="N37" s="42">
        <f t="shared" si="8"/>
        <v>16</v>
      </c>
      <c r="O37" s="7">
        <v>16</v>
      </c>
      <c r="P37" s="35">
        <f t="shared" si="9"/>
        <v>0</v>
      </c>
      <c r="Q37" s="35">
        <f t="shared" si="10"/>
        <v>0</v>
      </c>
    </row>
    <row r="38" spans="1:17" x14ac:dyDescent="0.25">
      <c r="A38" s="16" t="s">
        <v>68</v>
      </c>
      <c r="B38" s="17" t="s">
        <v>46</v>
      </c>
      <c r="C38" s="17" t="s">
        <v>333</v>
      </c>
      <c r="D38" s="3"/>
      <c r="E38" s="3"/>
      <c r="F38" s="6">
        <v>19.62</v>
      </c>
      <c r="G38" s="6">
        <v>19.62</v>
      </c>
      <c r="H38" s="4"/>
      <c r="I38" s="4"/>
      <c r="J38" s="4"/>
      <c r="K38" s="4"/>
      <c r="L38" s="6">
        <v>19.62</v>
      </c>
      <c r="M38" s="42">
        <f t="shared" si="7"/>
        <v>19.62</v>
      </c>
      <c r="N38" s="42">
        <f t="shared" si="8"/>
        <v>19.62</v>
      </c>
      <c r="O38" s="7">
        <v>19.62</v>
      </c>
      <c r="P38" s="35">
        <f t="shared" si="9"/>
        <v>0</v>
      </c>
      <c r="Q38" s="35">
        <f t="shared" si="10"/>
        <v>0</v>
      </c>
    </row>
    <row r="39" spans="1:17" customFormat="1" x14ac:dyDescent="0.25"/>
    <row r="40" spans="1:17" x14ac:dyDescent="0.25">
      <c r="D40" s="21"/>
      <c r="J40" s="22"/>
    </row>
    <row r="41" spans="1:17" x14ac:dyDescent="0.25">
      <c r="A41" s="53" t="s">
        <v>67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</row>
    <row r="42" spans="1:17" x14ac:dyDescent="0.25">
      <c r="A42" s="69" t="s">
        <v>35</v>
      </c>
      <c r="B42" s="52" t="s">
        <v>305</v>
      </c>
      <c r="C42" s="52" t="s">
        <v>53</v>
      </c>
      <c r="D42" s="53" t="s">
        <v>34</v>
      </c>
      <c r="E42" s="53"/>
      <c r="F42" s="53"/>
      <c r="G42" s="53"/>
      <c r="H42" s="52" t="s">
        <v>304</v>
      </c>
      <c r="I42" s="52" t="s">
        <v>322</v>
      </c>
      <c r="J42" s="52" t="s">
        <v>29</v>
      </c>
      <c r="K42" s="52" t="s">
        <v>323</v>
      </c>
      <c r="L42" s="52" t="s">
        <v>324</v>
      </c>
      <c r="N42"/>
      <c r="O42"/>
    </row>
    <row r="43" spans="1:17" ht="15" customHeight="1" x14ac:dyDescent="0.25">
      <c r="A43" s="69"/>
      <c r="B43" s="52"/>
      <c r="C43" s="52"/>
      <c r="D43" s="5" t="s">
        <v>70</v>
      </c>
      <c r="E43" s="5" t="s">
        <v>319</v>
      </c>
      <c r="F43" s="5" t="s">
        <v>71</v>
      </c>
      <c r="G43" s="5" t="s">
        <v>325</v>
      </c>
      <c r="H43" s="52"/>
      <c r="I43" s="53"/>
      <c r="J43" s="52"/>
      <c r="K43" s="53"/>
      <c r="L43" s="53"/>
      <c r="N43"/>
      <c r="O43"/>
    </row>
    <row r="44" spans="1:17" x14ac:dyDescent="0.25">
      <c r="A44" s="23" t="s">
        <v>72</v>
      </c>
      <c r="B44" s="37">
        <v>33013.660000000003</v>
      </c>
      <c r="C44" s="17" t="s">
        <v>73</v>
      </c>
      <c r="D44" s="6">
        <v>3563.62</v>
      </c>
      <c r="E44" s="6">
        <f>D44*1.0640039267</f>
        <v>3791.7056732666542</v>
      </c>
      <c r="F44" s="6" t="s">
        <v>32</v>
      </c>
      <c r="G44" s="6" t="s">
        <v>32</v>
      </c>
      <c r="H44" s="7">
        <v>3563.62</v>
      </c>
      <c r="I44" s="42">
        <f>AVERAGE(E44,G44)</f>
        <v>3791.7056732666542</v>
      </c>
      <c r="J44" s="7">
        <v>3123.65</v>
      </c>
      <c r="K44" s="35">
        <f>(J44/H44)-1</f>
        <v>-0.12346153630297274</v>
      </c>
      <c r="L44" s="35">
        <f>(J44/I44)-1</f>
        <v>-0.17618869470190357</v>
      </c>
      <c r="N44"/>
      <c r="O44"/>
    </row>
    <row r="45" spans="1:17" x14ac:dyDescent="0.25">
      <c r="A45" s="23" t="s">
        <v>74</v>
      </c>
      <c r="B45" s="23" t="s">
        <v>32</v>
      </c>
      <c r="C45" s="17" t="s">
        <v>73</v>
      </c>
      <c r="D45" s="6">
        <v>4049.45</v>
      </c>
      <c r="E45" s="6">
        <f t="shared" ref="E45:E46" si="12">D45*1.0640039267</f>
        <v>4308.6307009753154</v>
      </c>
      <c r="F45" s="6">
        <v>4049.45</v>
      </c>
      <c r="G45" s="6">
        <f>F45*1.106878</f>
        <v>4482.2471170999997</v>
      </c>
      <c r="H45" s="7">
        <v>4049.45</v>
      </c>
      <c r="I45" s="42">
        <f t="shared" ref="I45:I46" si="13">AVERAGE(E45,G45)</f>
        <v>4395.4389090376571</v>
      </c>
      <c r="J45" s="7">
        <v>4049.45</v>
      </c>
      <c r="K45" s="35">
        <f t="shared" ref="K45:K46" si="14">(J45/I45)-1</f>
        <v>-7.8715440300229034E-2</v>
      </c>
      <c r="L45" s="35">
        <f t="shared" ref="L45:L46" si="15">(J45/I45)-1</f>
        <v>-7.8715440300229034E-2</v>
      </c>
      <c r="N45"/>
      <c r="O45"/>
    </row>
    <row r="46" spans="1:17" x14ac:dyDescent="0.25">
      <c r="A46" s="23" t="s">
        <v>75</v>
      </c>
      <c r="B46" s="23" t="s">
        <v>32</v>
      </c>
      <c r="C46" s="17" t="s">
        <v>73</v>
      </c>
      <c r="D46" s="6">
        <v>2200.6999999999998</v>
      </c>
      <c r="E46" s="6">
        <f t="shared" si="12"/>
        <v>2341.5534414886902</v>
      </c>
      <c r="F46" s="6">
        <v>2007.7</v>
      </c>
      <c r="G46" s="6">
        <f>F46*1.106878</f>
        <v>2222.2789606000001</v>
      </c>
      <c r="H46" s="7">
        <v>2104.1999999999998</v>
      </c>
      <c r="I46" s="42">
        <f t="shared" si="13"/>
        <v>2281.9162010443451</v>
      </c>
      <c r="J46" s="7">
        <v>2007.88</v>
      </c>
      <c r="K46" s="35">
        <f t="shared" si="14"/>
        <v>-0.12009038759570978</v>
      </c>
      <c r="L46" s="35">
        <f t="shared" si="15"/>
        <v>-0.12009038759570978</v>
      </c>
      <c r="N46"/>
      <c r="O46"/>
    </row>
    <row r="47" spans="1:17" x14ac:dyDescent="0.25">
      <c r="J47" s="22"/>
      <c r="N47"/>
      <c r="O47"/>
    </row>
    <row r="48" spans="1:17" x14ac:dyDescent="0.25">
      <c r="J48" s="22"/>
    </row>
    <row r="49" spans="1:15" x14ac:dyDescent="0.25">
      <c r="A49" s="53" t="s">
        <v>76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M49" s="25"/>
    </row>
    <row r="50" spans="1:15" ht="15" customHeight="1" x14ac:dyDescent="0.25">
      <c r="A50" s="53" t="s">
        <v>306</v>
      </c>
      <c r="B50" s="52" t="s">
        <v>305</v>
      </c>
      <c r="C50" s="53" t="s">
        <v>26</v>
      </c>
      <c r="D50" s="53" t="s">
        <v>41</v>
      </c>
      <c r="E50" s="53"/>
      <c r="F50" s="53"/>
      <c r="G50" s="52" t="s">
        <v>304</v>
      </c>
      <c r="H50" s="52" t="s">
        <v>322</v>
      </c>
      <c r="I50" s="52" t="s">
        <v>29</v>
      </c>
      <c r="J50" s="52" t="s">
        <v>323</v>
      </c>
      <c r="K50" s="52" t="s">
        <v>324</v>
      </c>
      <c r="L50"/>
      <c r="M50"/>
      <c r="N50"/>
      <c r="O50"/>
    </row>
    <row r="51" spans="1:15" x14ac:dyDescent="0.25">
      <c r="A51" s="53"/>
      <c r="B51" s="52"/>
      <c r="C51" s="53"/>
      <c r="D51" s="5" t="s">
        <v>27</v>
      </c>
      <c r="E51" s="5" t="s">
        <v>308</v>
      </c>
      <c r="F51" s="5" t="s">
        <v>77</v>
      </c>
      <c r="G51" s="52"/>
      <c r="H51" s="53"/>
      <c r="I51" s="52"/>
      <c r="J51" s="53"/>
      <c r="K51" s="53"/>
      <c r="L51"/>
      <c r="M51"/>
      <c r="N51"/>
      <c r="O51"/>
    </row>
    <row r="52" spans="1:15" x14ac:dyDescent="0.25">
      <c r="A52" s="16" t="s">
        <v>78</v>
      </c>
      <c r="B52" s="7">
        <v>19350.98</v>
      </c>
      <c r="C52" s="17" t="s">
        <v>334</v>
      </c>
      <c r="D52" s="3">
        <v>15545.31</v>
      </c>
      <c r="E52" s="3">
        <f>D52*1.052635</f>
        <v>16363.537391849999</v>
      </c>
      <c r="F52" s="6">
        <v>19431</v>
      </c>
      <c r="G52" s="44">
        <f>AVERAGE(D52,F52,B52)</f>
        <v>18109.096666666665</v>
      </c>
      <c r="H52" s="44">
        <f>AVERAGE(E52,F52,B52)</f>
        <v>18381.839130616663</v>
      </c>
      <c r="I52" s="40">
        <v>15543.31</v>
      </c>
      <c r="J52" s="35">
        <f>(I52/G52)-1</f>
        <v>-0.14168496164634747</v>
      </c>
      <c r="K52" s="35">
        <f>(I52/H52)-1</f>
        <v>-0.15442030095284809</v>
      </c>
      <c r="L52"/>
      <c r="M52"/>
      <c r="N52"/>
      <c r="O52"/>
    </row>
    <row r="53" spans="1:15" x14ac:dyDescent="0.25">
      <c r="A53" s="16" t="s">
        <v>79</v>
      </c>
      <c r="B53" s="7">
        <v>0.3</v>
      </c>
      <c r="C53" s="17" t="s">
        <v>334</v>
      </c>
      <c r="D53" s="3">
        <v>0.27</v>
      </c>
      <c r="E53" s="3">
        <f>D53*1.052635</f>
        <v>0.28421145000000003</v>
      </c>
      <c r="F53" s="6" t="s">
        <v>32</v>
      </c>
      <c r="G53" s="44">
        <f>AVERAGE(D53,F53,B53)</f>
        <v>0.28500000000000003</v>
      </c>
      <c r="H53" s="44">
        <f>AVERAGE(E53,F53,B53)</f>
        <v>0.29210572499999998</v>
      </c>
      <c r="I53" s="7">
        <v>0.27</v>
      </c>
      <c r="J53" s="35">
        <f>(I53/G53)-1</f>
        <v>-5.2631578947368474E-2</v>
      </c>
      <c r="K53" s="35">
        <f>(I53/H53)-1</f>
        <v>-7.567713710506685E-2</v>
      </c>
      <c r="L53"/>
      <c r="M53"/>
      <c r="N53"/>
      <c r="O53"/>
    </row>
    <row r="54" spans="1:15" x14ac:dyDescent="0.25">
      <c r="A54" s="67"/>
      <c r="B54" s="67"/>
      <c r="C54" s="67"/>
      <c r="L54"/>
      <c r="M54"/>
      <c r="N54"/>
      <c r="O54"/>
    </row>
    <row r="56" spans="1:15" x14ac:dyDescent="0.25">
      <c r="A56" s="53" t="s">
        <v>80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</row>
    <row r="57" spans="1:15" x14ac:dyDescent="0.25">
      <c r="A57" s="56" t="s">
        <v>306</v>
      </c>
      <c r="B57" s="56" t="s">
        <v>53</v>
      </c>
      <c r="C57" s="53" t="s">
        <v>34</v>
      </c>
      <c r="D57" s="53"/>
      <c r="E57" s="53"/>
      <c r="F57" s="53"/>
      <c r="G57" s="53"/>
      <c r="H57" s="53"/>
      <c r="I57" s="52" t="s">
        <v>304</v>
      </c>
      <c r="J57" s="52" t="s">
        <v>322</v>
      </c>
      <c r="K57" s="52" t="s">
        <v>29</v>
      </c>
      <c r="L57" s="52" t="s">
        <v>323</v>
      </c>
      <c r="M57" s="52" t="s">
        <v>324</v>
      </c>
    </row>
    <row r="58" spans="1:15" x14ac:dyDescent="0.25">
      <c r="A58" s="57"/>
      <c r="B58" s="57"/>
      <c r="C58" s="5" t="s">
        <v>28</v>
      </c>
      <c r="D58" s="5" t="s">
        <v>297</v>
      </c>
      <c r="E58" s="5" t="s">
        <v>81</v>
      </c>
      <c r="F58" s="5" t="s">
        <v>310</v>
      </c>
      <c r="G58" s="5" t="s">
        <v>82</v>
      </c>
      <c r="H58" s="5" t="s">
        <v>315</v>
      </c>
      <c r="I58" s="52"/>
      <c r="J58" s="53"/>
      <c r="K58" s="52"/>
      <c r="L58" s="53"/>
      <c r="M58" s="53"/>
    </row>
    <row r="59" spans="1:15" x14ac:dyDescent="0.25">
      <c r="A59" s="16" t="s">
        <v>83</v>
      </c>
      <c r="B59" s="17" t="s">
        <v>84</v>
      </c>
      <c r="C59" s="4">
        <v>30077.91</v>
      </c>
      <c r="D59" s="4">
        <f>C59*1.0654</f>
        <v>32045.005313999998</v>
      </c>
      <c r="E59" s="8">
        <v>33296.25</v>
      </c>
      <c r="F59" s="8">
        <f>E59*1.035673</f>
        <v>34484.027126250003</v>
      </c>
      <c r="G59" s="4">
        <v>30077.91</v>
      </c>
      <c r="H59" s="4">
        <f>G59*1.106878</f>
        <v>33292.576864980001</v>
      </c>
      <c r="I59" s="45">
        <f>AVERAGE(C59,E59,G59)</f>
        <v>31150.690000000002</v>
      </c>
      <c r="J59" s="45">
        <f>AVERAGE(D59,F59,H59)</f>
        <v>33273.869768409997</v>
      </c>
      <c r="K59" s="7">
        <v>30077.91</v>
      </c>
      <c r="L59" s="35">
        <f>($K59/I59)-1</f>
        <v>-3.4438402488034869E-2</v>
      </c>
      <c r="M59" s="35">
        <f>($K59/J59)-1</f>
        <v>-9.6050137560020787E-2</v>
      </c>
    </row>
    <row r="60" spans="1:15" x14ac:dyDescent="0.25">
      <c r="A60" s="16" t="s">
        <v>85</v>
      </c>
      <c r="B60" s="17" t="s">
        <v>86</v>
      </c>
      <c r="C60" s="4">
        <v>5.86</v>
      </c>
      <c r="D60" s="4">
        <f t="shared" ref="D60:D64" si="16">C60*1.0654</f>
        <v>6.2432439999999998</v>
      </c>
      <c r="E60" s="8"/>
      <c r="F60" s="8"/>
      <c r="G60" s="4"/>
      <c r="H60" s="4"/>
      <c r="I60" s="45">
        <f t="shared" ref="I60:I64" si="17">AVERAGE(C60,E60,G60)</f>
        <v>5.86</v>
      </c>
      <c r="J60" s="45">
        <f t="shared" ref="J60:J64" si="18">AVERAGE(D60,F60,H60)</f>
        <v>6.2432439999999998</v>
      </c>
      <c r="K60" s="7">
        <v>5.86</v>
      </c>
      <c r="L60" s="35">
        <f t="shared" ref="L60:L64" si="19">($K60/I60)-1</f>
        <v>0</v>
      </c>
      <c r="M60" s="35">
        <f t="shared" ref="M60:M64" si="20">($K60/J60)-1</f>
        <v>-6.1385395156748568E-2</v>
      </c>
    </row>
    <row r="61" spans="1:15" x14ac:dyDescent="0.25">
      <c r="A61" s="16" t="s">
        <v>87</v>
      </c>
      <c r="B61" s="17" t="s">
        <v>86</v>
      </c>
      <c r="C61" s="4">
        <v>70.849999999999994</v>
      </c>
      <c r="D61" s="4">
        <f t="shared" si="16"/>
        <v>75.483589999999992</v>
      </c>
      <c r="E61" s="8">
        <v>78.430000000000007</v>
      </c>
      <c r="F61" s="8">
        <f t="shared" ref="F61" si="21">E61*1.035673</f>
        <v>81.227833390000015</v>
      </c>
      <c r="G61" s="4">
        <v>70.849999999999994</v>
      </c>
      <c r="H61" s="4">
        <f t="shared" ref="H61" si="22">G61*1.106878</f>
        <v>78.422306300000002</v>
      </c>
      <c r="I61" s="45">
        <f t="shared" si="17"/>
        <v>73.376666666666665</v>
      </c>
      <c r="J61" s="45">
        <f t="shared" si="18"/>
        <v>78.377909896666665</v>
      </c>
      <c r="K61" s="7">
        <v>70.849999999999994</v>
      </c>
      <c r="L61" s="35">
        <f t="shared" si="19"/>
        <v>-3.4434197973924552E-2</v>
      </c>
      <c r="M61" s="35">
        <f t="shared" si="20"/>
        <v>-9.6046321043664729E-2</v>
      </c>
    </row>
    <row r="62" spans="1:15" x14ac:dyDescent="0.25">
      <c r="A62" s="16" t="s">
        <v>88</v>
      </c>
      <c r="B62" s="17" t="s">
        <v>89</v>
      </c>
      <c r="C62" s="4"/>
      <c r="D62" s="4"/>
      <c r="E62" s="8"/>
      <c r="F62" s="8"/>
      <c r="G62" s="4"/>
      <c r="H62" s="4"/>
      <c r="I62" s="45" t="s">
        <v>32</v>
      </c>
      <c r="J62" s="45" t="s">
        <v>32</v>
      </c>
      <c r="K62" s="7">
        <v>398.36</v>
      </c>
      <c r="L62" s="45" t="s">
        <v>32</v>
      </c>
      <c r="M62" s="45" t="s">
        <v>32</v>
      </c>
    </row>
    <row r="63" spans="1:15" x14ac:dyDescent="0.25">
      <c r="A63" s="16" t="s">
        <v>90</v>
      </c>
      <c r="B63" s="17" t="s">
        <v>89</v>
      </c>
      <c r="C63" s="4"/>
      <c r="D63" s="4"/>
      <c r="E63" s="8"/>
      <c r="F63" s="8"/>
      <c r="G63" s="4"/>
      <c r="H63" s="4"/>
      <c r="I63" s="45" t="s">
        <v>32</v>
      </c>
      <c r="J63" s="45" t="s">
        <v>32</v>
      </c>
      <c r="K63" s="7">
        <v>1494.86</v>
      </c>
      <c r="L63" s="45" t="s">
        <v>32</v>
      </c>
      <c r="M63" s="45" t="s">
        <v>32</v>
      </c>
    </row>
    <row r="64" spans="1:15" x14ac:dyDescent="0.25">
      <c r="A64" s="16" t="s">
        <v>335</v>
      </c>
      <c r="B64" s="17" t="s">
        <v>327</v>
      </c>
      <c r="C64" s="4">
        <v>3772.93</v>
      </c>
      <c r="D64" s="4">
        <f t="shared" si="16"/>
        <v>4019.6796219999997</v>
      </c>
      <c r="E64" s="8"/>
      <c r="F64" s="8"/>
      <c r="G64" s="4"/>
      <c r="H64" s="4"/>
      <c r="I64" s="45">
        <f t="shared" si="17"/>
        <v>3772.93</v>
      </c>
      <c r="J64" s="45">
        <f t="shared" si="18"/>
        <v>4019.6796219999997</v>
      </c>
      <c r="K64" s="7">
        <v>3772.93</v>
      </c>
      <c r="L64" s="35">
        <f t="shared" si="19"/>
        <v>0</v>
      </c>
      <c r="M64" s="35">
        <f t="shared" si="20"/>
        <v>-6.1385395156748568E-2</v>
      </c>
    </row>
    <row r="67" spans="1:15" x14ac:dyDescent="0.25">
      <c r="A67" s="54" t="s">
        <v>91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/>
    </row>
    <row r="68" spans="1:15" x14ac:dyDescent="0.25">
      <c r="A68" s="55" t="s">
        <v>306</v>
      </c>
      <c r="B68" s="55" t="s">
        <v>53</v>
      </c>
      <c r="C68" s="26" t="s">
        <v>92</v>
      </c>
      <c r="D68" s="27"/>
      <c r="E68" s="33"/>
      <c r="F68" s="26"/>
      <c r="G68" s="52" t="s">
        <v>304</v>
      </c>
      <c r="H68" s="52" t="s">
        <v>322</v>
      </c>
      <c r="I68" s="52" t="s">
        <v>29</v>
      </c>
      <c r="J68" s="52" t="s">
        <v>323</v>
      </c>
      <c r="K68" s="52" t="s">
        <v>324</v>
      </c>
      <c r="L68"/>
    </row>
    <row r="69" spans="1:15" x14ac:dyDescent="0.25">
      <c r="A69" s="55"/>
      <c r="B69" s="55"/>
      <c r="C69" s="9" t="s">
        <v>55</v>
      </c>
      <c r="D69" s="10" t="s">
        <v>36</v>
      </c>
      <c r="E69" s="10" t="s">
        <v>311</v>
      </c>
      <c r="F69" s="9" t="s">
        <v>93</v>
      </c>
      <c r="G69" s="52"/>
      <c r="H69" s="53"/>
      <c r="I69" s="52"/>
      <c r="J69" s="53"/>
      <c r="K69" s="53"/>
      <c r="L69"/>
    </row>
    <row r="70" spans="1:15" x14ac:dyDescent="0.25">
      <c r="A70" s="16" t="s">
        <v>94</v>
      </c>
      <c r="B70" s="17" t="s">
        <v>38</v>
      </c>
      <c r="C70" s="6">
        <v>1297</v>
      </c>
      <c r="D70" s="3">
        <v>1297</v>
      </c>
      <c r="E70" s="3">
        <f>D70*1.037494</f>
        <v>1345.6297179999999</v>
      </c>
      <c r="F70" s="6">
        <v>1297</v>
      </c>
      <c r="G70" s="24">
        <f>AVERAGE(C70,D70,F70)</f>
        <v>1297</v>
      </c>
      <c r="H70" s="24">
        <f>AVERAGE(C70,E70,F70)</f>
        <v>1313.209906</v>
      </c>
      <c r="I70" s="7">
        <v>1297</v>
      </c>
      <c r="J70" s="43">
        <f>($I70/G70)-1</f>
        <v>0</v>
      </c>
      <c r="K70" s="43">
        <f>($I70/H70)-1</f>
        <v>-1.2343728086376515E-2</v>
      </c>
      <c r="L70"/>
      <c r="M70"/>
      <c r="N70"/>
      <c r="O70"/>
    </row>
    <row r="71" spans="1:15" x14ac:dyDescent="0.25">
      <c r="A71" s="16" t="s">
        <v>95</v>
      </c>
      <c r="B71" s="17" t="s">
        <v>96</v>
      </c>
      <c r="C71" s="6">
        <v>1.77</v>
      </c>
      <c r="D71" s="3">
        <v>1.77</v>
      </c>
      <c r="E71" s="3">
        <f t="shared" ref="E71" si="23">D71*1.037494</f>
        <v>1.8363643799999998</v>
      </c>
      <c r="F71" s="6">
        <v>1.77</v>
      </c>
      <c r="G71" s="24">
        <f t="shared" ref="G71:G72" si="24">AVERAGE(C71,D71,F71)</f>
        <v>1.7700000000000002</v>
      </c>
      <c r="H71" s="24">
        <f t="shared" ref="H71:H72" si="25">AVERAGE(C71,E71,F71)</f>
        <v>1.7921214599999999</v>
      </c>
      <c r="I71" s="7">
        <v>1.77</v>
      </c>
      <c r="J71" s="43">
        <f t="shared" ref="J71:J72" si="26">($I71/G71)-1</f>
        <v>0</v>
      </c>
      <c r="K71" s="43">
        <f t="shared" ref="K71:K72" si="27">($I71/H71)-1</f>
        <v>-1.2343728086376404E-2</v>
      </c>
      <c r="L71"/>
      <c r="M71"/>
      <c r="N71"/>
      <c r="O71"/>
    </row>
    <row r="72" spans="1:15" x14ac:dyDescent="0.25">
      <c r="A72" s="16" t="s">
        <v>97</v>
      </c>
      <c r="B72" s="17" t="s">
        <v>98</v>
      </c>
      <c r="C72" s="6">
        <v>0.69</v>
      </c>
      <c r="D72" s="3" t="s">
        <v>32</v>
      </c>
      <c r="E72" s="3" t="s">
        <v>32</v>
      </c>
      <c r="F72" s="6">
        <v>0.69</v>
      </c>
      <c r="G72" s="24">
        <f t="shared" si="24"/>
        <v>0.69</v>
      </c>
      <c r="H72" s="24">
        <f t="shared" si="25"/>
        <v>0.69</v>
      </c>
      <c r="I72" s="7">
        <v>0.69</v>
      </c>
      <c r="J72" s="43">
        <f t="shared" si="26"/>
        <v>0</v>
      </c>
      <c r="K72" s="43">
        <f t="shared" si="27"/>
        <v>0</v>
      </c>
      <c r="L72"/>
      <c r="M72"/>
      <c r="N72"/>
      <c r="O72"/>
    </row>
    <row r="73" spans="1:15" x14ac:dyDescent="0.25">
      <c r="J73"/>
      <c r="K73"/>
      <c r="L73"/>
      <c r="M73"/>
      <c r="N73"/>
      <c r="O73"/>
    </row>
    <row r="74" spans="1:15" x14ac:dyDescent="0.25">
      <c r="J74"/>
      <c r="K74"/>
      <c r="L74"/>
      <c r="M74"/>
      <c r="N74"/>
      <c r="O74"/>
    </row>
    <row r="75" spans="1:15" x14ac:dyDescent="0.25">
      <c r="A75" s="53" t="s">
        <v>99</v>
      </c>
      <c r="B75" s="53"/>
      <c r="C75" s="53"/>
      <c r="D75" s="53"/>
      <c r="E75" s="53"/>
      <c r="F75" s="53"/>
      <c r="G75" s="53"/>
      <c r="H75" s="53"/>
      <c r="I75" s="53"/>
      <c r="J75" s="53"/>
      <c r="M75"/>
      <c r="N75"/>
      <c r="O75"/>
    </row>
    <row r="76" spans="1:15" x14ac:dyDescent="0.25">
      <c r="A76" s="53" t="s">
        <v>306</v>
      </c>
      <c r="B76" s="53" t="s">
        <v>53</v>
      </c>
      <c r="C76" s="65" t="s">
        <v>92</v>
      </c>
      <c r="D76" s="66"/>
      <c r="E76" s="68"/>
      <c r="F76" s="52" t="s">
        <v>304</v>
      </c>
      <c r="G76" s="52" t="s">
        <v>322</v>
      </c>
      <c r="H76" s="52" t="s">
        <v>29</v>
      </c>
      <c r="I76" s="52" t="s">
        <v>323</v>
      </c>
      <c r="J76" s="52" t="s">
        <v>324</v>
      </c>
    </row>
    <row r="77" spans="1:15" x14ac:dyDescent="0.25">
      <c r="A77" s="53"/>
      <c r="B77" s="53"/>
      <c r="C77" s="5" t="s">
        <v>27</v>
      </c>
      <c r="D77" s="5" t="s">
        <v>308</v>
      </c>
      <c r="E77" s="5" t="s">
        <v>100</v>
      </c>
      <c r="F77" s="52"/>
      <c r="G77" s="53"/>
      <c r="H77" s="52"/>
      <c r="I77" s="53"/>
      <c r="J77" s="53"/>
    </row>
    <row r="78" spans="1:15" x14ac:dyDescent="0.25">
      <c r="A78" s="16" t="s">
        <v>101</v>
      </c>
      <c r="B78" s="19" t="s">
        <v>326</v>
      </c>
      <c r="C78" s="3">
        <v>574.86</v>
      </c>
      <c r="D78" s="3">
        <f>C78*1.052635</f>
        <v>605.11775609999995</v>
      </c>
      <c r="E78" s="6">
        <v>574.86</v>
      </c>
      <c r="F78" s="24">
        <f>AVERAGE(C78,E78)</f>
        <v>574.86</v>
      </c>
      <c r="G78" s="24">
        <f>AVERAGE(D78,E78)</f>
        <v>589.98887805000004</v>
      </c>
      <c r="H78" s="7">
        <v>574.91</v>
      </c>
      <c r="I78" s="34">
        <f>($H78/F78)-1</f>
        <v>8.6977698917856117E-5</v>
      </c>
      <c r="J78" s="34">
        <f>($H78/G78)-1</f>
        <v>-2.5557902209678907E-2</v>
      </c>
    </row>
    <row r="79" spans="1:15" x14ac:dyDescent="0.25">
      <c r="A79" s="16" t="s">
        <v>102</v>
      </c>
      <c r="B79" s="17" t="s">
        <v>103</v>
      </c>
      <c r="C79" s="3">
        <v>0.34</v>
      </c>
      <c r="D79" s="3">
        <f>C79*1.052635</f>
        <v>0.35789590000000004</v>
      </c>
      <c r="E79" s="6">
        <v>0.34</v>
      </c>
      <c r="F79" s="24">
        <f>AVERAGE(C79,E79)</f>
        <v>0.34</v>
      </c>
      <c r="G79" s="24">
        <f>AVERAGE(D79,E79)</f>
        <v>0.34894795000000001</v>
      </c>
      <c r="H79" s="7">
        <v>0.34</v>
      </c>
      <c r="I79" s="34">
        <f>($H79/F79)-1</f>
        <v>0</v>
      </c>
      <c r="J79" s="34">
        <f>($H79/G79)-1</f>
        <v>-2.5642649569942999E-2</v>
      </c>
      <c r="K79"/>
      <c r="L79"/>
    </row>
    <row r="80" spans="1:15" x14ac:dyDescent="0.25">
      <c r="K80"/>
      <c r="L80"/>
    </row>
    <row r="81" spans="1:12" x14ac:dyDescent="0.25">
      <c r="K81"/>
      <c r="L81"/>
    </row>
    <row r="82" spans="1:12" x14ac:dyDescent="0.25">
      <c r="A82" s="53" t="s">
        <v>104</v>
      </c>
      <c r="B82" s="53"/>
      <c r="C82" s="53"/>
      <c r="D82" s="53"/>
      <c r="E82" s="53"/>
      <c r="F82" s="53"/>
      <c r="G82" s="53"/>
      <c r="H82" s="53"/>
      <c r="I82" s="53"/>
      <c r="K82"/>
      <c r="L82"/>
    </row>
    <row r="83" spans="1:12" x14ac:dyDescent="0.25">
      <c r="A83" s="53" t="s">
        <v>306</v>
      </c>
      <c r="B83" s="53" t="s">
        <v>53</v>
      </c>
      <c r="C83" s="53" t="s">
        <v>92</v>
      </c>
      <c r="D83" s="53"/>
      <c r="E83" s="52" t="s">
        <v>304</v>
      </c>
      <c r="F83" s="52" t="s">
        <v>322</v>
      </c>
      <c r="G83" s="52" t="s">
        <v>29</v>
      </c>
      <c r="H83" s="52" t="s">
        <v>323</v>
      </c>
      <c r="I83" s="52" t="s">
        <v>324</v>
      </c>
      <c r="K83"/>
      <c r="L83"/>
    </row>
    <row r="84" spans="1:12" x14ac:dyDescent="0.25">
      <c r="A84" s="53"/>
      <c r="B84" s="53"/>
      <c r="C84" s="5" t="s">
        <v>105</v>
      </c>
      <c r="D84" s="5" t="s">
        <v>106</v>
      </c>
      <c r="E84" s="52"/>
      <c r="F84" s="53"/>
      <c r="G84" s="52"/>
      <c r="H84" s="53"/>
      <c r="I84" s="53"/>
      <c r="K84"/>
      <c r="L84"/>
    </row>
    <row r="85" spans="1:12" x14ac:dyDescent="0.25">
      <c r="A85" s="16" t="s">
        <v>107</v>
      </c>
      <c r="B85" s="17" t="s">
        <v>108</v>
      </c>
      <c r="C85" s="41">
        <v>5681.6</v>
      </c>
      <c r="D85" s="41">
        <v>5681.6</v>
      </c>
      <c r="E85" s="38">
        <f>AVERAGE(C85:D85)</f>
        <v>5681.6</v>
      </c>
      <c r="F85" s="38">
        <f>AVERAGE(C85:D85)</f>
        <v>5681.6</v>
      </c>
      <c r="G85" s="39">
        <v>5681.6</v>
      </c>
      <c r="H85" s="43">
        <f>($G85/E85)-1</f>
        <v>0</v>
      </c>
      <c r="I85" s="43">
        <f>($G85/F85)-1</f>
        <v>0</v>
      </c>
      <c r="K85"/>
      <c r="L85"/>
    </row>
    <row r="86" spans="1:12" x14ac:dyDescent="0.25">
      <c r="A86" s="16" t="s">
        <v>109</v>
      </c>
      <c r="B86" s="17" t="s">
        <v>108</v>
      </c>
      <c r="C86" s="41">
        <v>5681.6</v>
      </c>
      <c r="D86" s="41">
        <v>5681.6</v>
      </c>
      <c r="E86" s="38">
        <f t="shared" ref="E86:E88" si="28">AVERAGE(C86:D86)</f>
        <v>5681.6</v>
      </c>
      <c r="F86" s="38">
        <f t="shared" ref="F86:F88" si="29">AVERAGE(C86:D86)</f>
        <v>5681.6</v>
      </c>
      <c r="G86" s="39">
        <v>5681.6</v>
      </c>
      <c r="H86" s="43">
        <f t="shared" ref="H86:H88" si="30">($G86/E86)-1</f>
        <v>0</v>
      </c>
      <c r="I86" s="43">
        <f t="shared" ref="I86:I88" si="31">($G86/F86)-1</f>
        <v>0</v>
      </c>
    </row>
    <row r="87" spans="1:12" x14ac:dyDescent="0.25">
      <c r="A87" s="16" t="s">
        <v>110</v>
      </c>
      <c r="B87" s="17" t="s">
        <v>108</v>
      </c>
      <c r="C87" s="41">
        <v>5681.6</v>
      </c>
      <c r="D87" s="41">
        <v>5681.6</v>
      </c>
      <c r="E87" s="38">
        <f t="shared" si="28"/>
        <v>5681.6</v>
      </c>
      <c r="F87" s="38">
        <f t="shared" si="29"/>
        <v>5681.6</v>
      </c>
      <c r="G87" s="39">
        <v>5681.6</v>
      </c>
      <c r="H87" s="43">
        <f t="shared" si="30"/>
        <v>0</v>
      </c>
      <c r="I87" s="43">
        <f t="shared" si="31"/>
        <v>0</v>
      </c>
    </row>
    <row r="88" spans="1:12" x14ac:dyDescent="0.25">
      <c r="A88" s="16" t="s">
        <v>111</v>
      </c>
      <c r="B88" s="17" t="s">
        <v>336</v>
      </c>
      <c r="C88" s="18">
        <v>224.46</v>
      </c>
      <c r="D88" s="18">
        <v>224.46</v>
      </c>
      <c r="E88" s="38">
        <f t="shared" si="28"/>
        <v>224.46</v>
      </c>
      <c r="F88" s="38">
        <f t="shared" si="29"/>
        <v>224.46</v>
      </c>
      <c r="G88" s="17">
        <v>224.46</v>
      </c>
      <c r="H88" s="43">
        <f t="shared" si="30"/>
        <v>0</v>
      </c>
      <c r="I88" s="43">
        <f t="shared" si="31"/>
        <v>0</v>
      </c>
    </row>
    <row r="91" spans="1:12" x14ac:dyDescent="0.25">
      <c r="A91" s="53" t="s">
        <v>112</v>
      </c>
      <c r="B91" s="53"/>
      <c r="C91" s="53"/>
      <c r="D91" s="53"/>
      <c r="E91" s="53"/>
      <c r="F91" s="53"/>
      <c r="G91" s="53"/>
      <c r="H91" s="53"/>
      <c r="I91" s="53"/>
    </row>
    <row r="92" spans="1:12" x14ac:dyDescent="0.25">
      <c r="A92" s="53" t="s">
        <v>306</v>
      </c>
      <c r="B92" s="53" t="s">
        <v>53</v>
      </c>
      <c r="C92" s="53" t="s">
        <v>113</v>
      </c>
      <c r="D92" s="53"/>
      <c r="E92" s="52" t="s">
        <v>304</v>
      </c>
      <c r="F92" s="52" t="s">
        <v>322</v>
      </c>
      <c r="G92" s="52" t="s">
        <v>29</v>
      </c>
      <c r="H92" s="52" t="s">
        <v>323</v>
      </c>
      <c r="I92" s="52" t="s">
        <v>324</v>
      </c>
    </row>
    <row r="93" spans="1:12" x14ac:dyDescent="0.25">
      <c r="A93" s="53"/>
      <c r="B93" s="53"/>
      <c r="C93" s="5" t="s">
        <v>114</v>
      </c>
      <c r="D93" s="5" t="s">
        <v>106</v>
      </c>
      <c r="E93" s="52"/>
      <c r="F93" s="53"/>
      <c r="G93" s="52"/>
      <c r="H93" s="53"/>
      <c r="I93" s="53"/>
    </row>
    <row r="94" spans="1:12" x14ac:dyDescent="0.25">
      <c r="A94" s="17" t="s">
        <v>115</v>
      </c>
      <c r="B94" s="17" t="s">
        <v>337</v>
      </c>
      <c r="C94" s="6">
        <v>0.32</v>
      </c>
      <c r="D94" s="6">
        <v>0.32</v>
      </c>
      <c r="E94" s="38">
        <f>AVERAGE(C94:D94)</f>
        <v>0.32</v>
      </c>
      <c r="F94" s="38">
        <f>AVERAGE(C94:D94)</f>
        <v>0.32</v>
      </c>
      <c r="G94" s="7">
        <v>0.32</v>
      </c>
      <c r="H94" s="43">
        <f>($G94/E94)-1</f>
        <v>0</v>
      </c>
      <c r="I94" s="43">
        <f>($G94/F94)-1</f>
        <v>0</v>
      </c>
    </row>
    <row r="97" spans="1:13" x14ac:dyDescent="0.25">
      <c r="A97" s="53" t="s">
        <v>116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</row>
    <row r="98" spans="1:13" x14ac:dyDescent="0.25">
      <c r="A98" s="53" t="s">
        <v>306</v>
      </c>
      <c r="B98" s="53" t="s">
        <v>53</v>
      </c>
      <c r="C98" s="53" t="s">
        <v>34</v>
      </c>
      <c r="D98" s="53"/>
      <c r="E98" s="53"/>
      <c r="F98" s="53"/>
      <c r="G98" s="53"/>
      <c r="H98" s="52" t="s">
        <v>304</v>
      </c>
      <c r="I98" s="52" t="s">
        <v>322</v>
      </c>
      <c r="J98" s="52" t="s">
        <v>29</v>
      </c>
      <c r="K98" s="52" t="s">
        <v>323</v>
      </c>
      <c r="L98" s="52" t="s">
        <v>324</v>
      </c>
    </row>
    <row r="99" spans="1:13" x14ac:dyDescent="0.25">
      <c r="A99" s="53"/>
      <c r="B99" s="53"/>
      <c r="C99" s="5" t="s">
        <v>117</v>
      </c>
      <c r="D99" s="5" t="s">
        <v>100</v>
      </c>
      <c r="E99" s="5" t="s">
        <v>118</v>
      </c>
      <c r="F99" s="5" t="s">
        <v>119</v>
      </c>
      <c r="G99" s="5" t="s">
        <v>315</v>
      </c>
      <c r="H99" s="52"/>
      <c r="I99" s="53"/>
      <c r="J99" s="52"/>
      <c r="K99" s="53"/>
      <c r="L99" s="53"/>
    </row>
    <row r="100" spans="1:13" x14ac:dyDescent="0.25">
      <c r="A100" s="17" t="s">
        <v>120</v>
      </c>
      <c r="B100" s="17" t="s">
        <v>121</v>
      </c>
      <c r="C100" s="6">
        <v>11636.9</v>
      </c>
      <c r="D100" s="6">
        <v>10962.2</v>
      </c>
      <c r="E100" s="6">
        <v>10962.3</v>
      </c>
      <c r="F100" s="4">
        <v>10962.3</v>
      </c>
      <c r="G100" s="4">
        <f>F100*1.106878</f>
        <v>12133.928699399999</v>
      </c>
      <c r="H100" s="45">
        <f>AVERAGE(C100:F100)</f>
        <v>11130.924999999999</v>
      </c>
      <c r="I100" s="45">
        <f>AVERAGE(C100:E100,G100)</f>
        <v>11423.832174849998</v>
      </c>
      <c r="J100" s="7">
        <v>10962.3</v>
      </c>
      <c r="K100" s="35">
        <f>($J100/H100)-1</f>
        <v>-1.5149235126460714E-2</v>
      </c>
      <c r="L100" s="35">
        <f>($J100/I100)-1</f>
        <v>-4.0400818900865887E-2</v>
      </c>
    </row>
    <row r="101" spans="1:13" x14ac:dyDescent="0.25">
      <c r="A101" s="17" t="s">
        <v>122</v>
      </c>
      <c r="B101" s="17" t="s">
        <v>123</v>
      </c>
      <c r="C101" s="6">
        <v>1512.8</v>
      </c>
      <c r="D101" s="6">
        <v>1425.1</v>
      </c>
      <c r="E101" s="6">
        <v>1425.1</v>
      </c>
      <c r="F101" s="4"/>
      <c r="G101" s="4"/>
      <c r="H101" s="45">
        <f t="shared" ref="H101:H104" si="32">AVERAGE(C101:F101)</f>
        <v>1454.3333333333333</v>
      </c>
      <c r="I101" s="45">
        <f t="shared" ref="I101:I105" si="33">AVERAGE(C101:E101,G101)</f>
        <v>1454.3333333333333</v>
      </c>
      <c r="J101" s="7">
        <v>1425.1</v>
      </c>
      <c r="K101" s="35">
        <f t="shared" ref="K101:K105" si="34">($J101/H101)-1</f>
        <v>-2.0100848040339181E-2</v>
      </c>
      <c r="L101" s="35">
        <f t="shared" ref="L101:L105" si="35">($J101/I101)-1</f>
        <v>-2.0100848040339181E-2</v>
      </c>
    </row>
    <row r="102" spans="1:13" x14ac:dyDescent="0.25">
      <c r="A102" s="17" t="s">
        <v>124</v>
      </c>
      <c r="B102" s="17" t="s">
        <v>123</v>
      </c>
      <c r="C102" s="6">
        <v>1512.8</v>
      </c>
      <c r="D102" s="6">
        <v>1425.1</v>
      </c>
      <c r="E102" s="6">
        <v>1425.1</v>
      </c>
      <c r="F102" s="4"/>
      <c r="G102" s="4"/>
      <c r="H102" s="45">
        <f t="shared" si="32"/>
        <v>1454.3333333333333</v>
      </c>
      <c r="I102" s="45">
        <f t="shared" si="33"/>
        <v>1454.3333333333333</v>
      </c>
      <c r="J102" s="7">
        <v>1425.1</v>
      </c>
      <c r="K102" s="35">
        <f t="shared" si="34"/>
        <v>-2.0100848040339181E-2</v>
      </c>
      <c r="L102" s="35">
        <f t="shared" si="35"/>
        <v>-2.0100848040339181E-2</v>
      </c>
    </row>
    <row r="103" spans="1:13" x14ac:dyDescent="0.25">
      <c r="A103" s="17" t="s">
        <v>125</v>
      </c>
      <c r="B103" s="17" t="s">
        <v>123</v>
      </c>
      <c r="C103" s="6">
        <v>1512.8</v>
      </c>
      <c r="D103" s="6">
        <v>1425.1</v>
      </c>
      <c r="E103" s="6">
        <v>1425.1</v>
      </c>
      <c r="F103" s="4"/>
      <c r="G103" s="4"/>
      <c r="H103" s="45">
        <f t="shared" si="32"/>
        <v>1454.3333333333333</v>
      </c>
      <c r="I103" s="45">
        <f t="shared" si="33"/>
        <v>1454.3333333333333</v>
      </c>
      <c r="J103" s="7">
        <v>1425.1</v>
      </c>
      <c r="K103" s="35">
        <f t="shared" si="34"/>
        <v>-2.0100848040339181E-2</v>
      </c>
      <c r="L103" s="35">
        <f t="shared" si="35"/>
        <v>-2.0100848040339181E-2</v>
      </c>
    </row>
    <row r="104" spans="1:13" x14ac:dyDescent="0.25">
      <c r="A104" s="17" t="s">
        <v>126</v>
      </c>
      <c r="B104" s="17" t="s">
        <v>123</v>
      </c>
      <c r="C104" s="6">
        <v>1512.8</v>
      </c>
      <c r="D104" s="6">
        <v>1425.1</v>
      </c>
      <c r="E104" s="6">
        <v>1425.1</v>
      </c>
      <c r="F104" s="4"/>
      <c r="G104" s="4"/>
      <c r="H104" s="45">
        <f t="shared" si="32"/>
        <v>1454.3333333333333</v>
      </c>
      <c r="I104" s="45">
        <f t="shared" si="33"/>
        <v>1454.3333333333333</v>
      </c>
      <c r="J104" s="7">
        <v>1425.1</v>
      </c>
      <c r="K104" s="35">
        <f t="shared" si="34"/>
        <v>-2.0100848040339181E-2</v>
      </c>
      <c r="L104" s="35">
        <f t="shared" si="35"/>
        <v>-2.0100848040339181E-2</v>
      </c>
    </row>
    <row r="105" spans="1:13" x14ac:dyDescent="0.25">
      <c r="A105" s="17" t="s">
        <v>127</v>
      </c>
      <c r="B105" s="17" t="s">
        <v>123</v>
      </c>
      <c r="C105" s="6"/>
      <c r="D105" s="6">
        <v>1425.1</v>
      </c>
      <c r="E105" s="6">
        <v>1425.1</v>
      </c>
      <c r="F105" s="4">
        <v>1425.1</v>
      </c>
      <c r="G105" s="4">
        <f t="shared" ref="G105" si="36">F105*1.106878</f>
        <v>1577.4118377999998</v>
      </c>
      <c r="H105" s="45">
        <f>AVERAGE(C105:F105)</f>
        <v>1425.0999999999997</v>
      </c>
      <c r="I105" s="45">
        <f t="shared" si="33"/>
        <v>1475.8706125999997</v>
      </c>
      <c r="J105" s="7">
        <v>1425.1</v>
      </c>
      <c r="K105" s="35">
        <f t="shared" si="34"/>
        <v>0</v>
      </c>
      <c r="L105" s="35">
        <f t="shared" si="35"/>
        <v>-3.4400449583150583E-2</v>
      </c>
    </row>
    <row r="108" spans="1:13" x14ac:dyDescent="0.25">
      <c r="A108" s="53" t="s">
        <v>128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</row>
    <row r="109" spans="1:13" x14ac:dyDescent="0.25">
      <c r="A109" s="56" t="s">
        <v>306</v>
      </c>
      <c r="B109" s="56" t="s">
        <v>53</v>
      </c>
      <c r="C109" s="65" t="s">
        <v>34</v>
      </c>
      <c r="D109" s="66"/>
      <c r="E109" s="66"/>
      <c r="F109" s="66"/>
      <c r="G109" s="66"/>
      <c r="H109" s="68"/>
      <c r="I109" s="52" t="s">
        <v>304</v>
      </c>
      <c r="J109" s="52" t="s">
        <v>322</v>
      </c>
      <c r="K109" s="52" t="s">
        <v>29</v>
      </c>
      <c r="L109" s="52" t="s">
        <v>323</v>
      </c>
      <c r="M109" s="52" t="s">
        <v>324</v>
      </c>
    </row>
    <row r="110" spans="1:13" x14ac:dyDescent="0.25">
      <c r="A110" s="57"/>
      <c r="B110" s="57"/>
      <c r="C110" s="5" t="s">
        <v>129</v>
      </c>
      <c r="D110" s="5" t="s">
        <v>130</v>
      </c>
      <c r="E110" s="5" t="s">
        <v>131</v>
      </c>
      <c r="F110" s="5" t="s">
        <v>316</v>
      </c>
      <c r="G110" s="5" t="s">
        <v>82</v>
      </c>
      <c r="H110" s="5" t="s">
        <v>315</v>
      </c>
      <c r="I110" s="52"/>
      <c r="J110" s="53"/>
      <c r="K110" s="52"/>
      <c r="L110" s="53"/>
      <c r="M110" s="53"/>
    </row>
    <row r="111" spans="1:13" x14ac:dyDescent="0.25">
      <c r="A111" s="16" t="s">
        <v>132</v>
      </c>
      <c r="B111" s="17" t="s">
        <v>133</v>
      </c>
      <c r="C111" s="6"/>
      <c r="D111" s="6"/>
      <c r="E111" s="4"/>
      <c r="F111" s="4"/>
      <c r="G111" s="4">
        <v>0.5</v>
      </c>
      <c r="H111" s="4">
        <f>G111*1.106878</f>
        <v>0.55343900000000001</v>
      </c>
      <c r="I111" s="7">
        <f>AVERAGE(C111,E111,G111,D111)</f>
        <v>0.5</v>
      </c>
      <c r="J111" s="7">
        <f>AVERAGE(C111:D111,F111,H111)</f>
        <v>0.55343900000000001</v>
      </c>
      <c r="K111" s="7">
        <v>0.41</v>
      </c>
      <c r="L111" s="35">
        <f>($K111/I111)-1</f>
        <v>-0.18000000000000005</v>
      </c>
      <c r="M111" s="35">
        <f>($K111/J111)-1</f>
        <v>-0.25917761487715907</v>
      </c>
    </row>
    <row r="112" spans="1:13" x14ac:dyDescent="0.25">
      <c r="A112" s="16" t="s">
        <v>134</v>
      </c>
      <c r="B112" s="17" t="s">
        <v>135</v>
      </c>
      <c r="C112" s="6">
        <v>0.53</v>
      </c>
      <c r="D112" s="6"/>
      <c r="E112" s="4"/>
      <c r="F112" s="4"/>
      <c r="G112" s="4">
        <v>0.57999999999999996</v>
      </c>
      <c r="H112" s="4">
        <f t="shared" ref="H112:H116" si="37">G112*1.106878</f>
        <v>0.64198924000000002</v>
      </c>
      <c r="I112" s="7">
        <f t="shared" ref="I112:I116" si="38">AVERAGE(C112,E112,G112,D112)</f>
        <v>0.55499999999999994</v>
      </c>
      <c r="J112" s="7">
        <f t="shared" ref="J112:J116" si="39">AVERAGE(C112:D112,F112,H112)</f>
        <v>0.58599462000000002</v>
      </c>
      <c r="K112" s="7">
        <v>0.41</v>
      </c>
      <c r="L112" s="35">
        <f t="shared" ref="L112:L116" si="40">($K112/I112)-1</f>
        <v>-0.26126126126126126</v>
      </c>
      <c r="M112" s="35">
        <f t="shared" ref="M112:M116" si="41">($K112/J112)-1</f>
        <v>-0.30033487338160214</v>
      </c>
    </row>
    <row r="113" spans="1:14" x14ac:dyDescent="0.25">
      <c r="A113" s="16" t="s">
        <v>136</v>
      </c>
      <c r="B113" s="17" t="s">
        <v>135</v>
      </c>
      <c r="C113" s="6"/>
      <c r="D113" s="6">
        <v>0.66</v>
      </c>
      <c r="E113" s="4"/>
      <c r="F113" s="4"/>
      <c r="G113" s="4"/>
      <c r="H113" s="4"/>
      <c r="I113" s="7">
        <f t="shared" si="38"/>
        <v>0.66</v>
      </c>
      <c r="J113" s="7">
        <f t="shared" si="39"/>
        <v>0.66</v>
      </c>
      <c r="K113" s="7">
        <v>0.41</v>
      </c>
      <c r="L113" s="35">
        <f t="shared" si="40"/>
        <v>-0.3787878787878789</v>
      </c>
      <c r="M113" s="35">
        <f t="shared" si="41"/>
        <v>-0.3787878787878789</v>
      </c>
    </row>
    <row r="114" spans="1:14" x14ac:dyDescent="0.25">
      <c r="A114" s="16" t="s">
        <v>137</v>
      </c>
      <c r="B114" s="17" t="s">
        <v>135</v>
      </c>
      <c r="C114" s="6">
        <v>0.53</v>
      </c>
      <c r="D114" s="6"/>
      <c r="E114" s="4"/>
      <c r="F114" s="4"/>
      <c r="G114" s="4"/>
      <c r="H114" s="4"/>
      <c r="I114" s="7">
        <f t="shared" si="38"/>
        <v>0.53</v>
      </c>
      <c r="J114" s="7">
        <f t="shared" si="39"/>
        <v>0.53</v>
      </c>
      <c r="K114" s="7">
        <v>0.31</v>
      </c>
      <c r="L114" s="35">
        <f t="shared" si="40"/>
        <v>-0.41509433962264153</v>
      </c>
      <c r="M114" s="35">
        <f t="shared" si="41"/>
        <v>-0.41509433962264153</v>
      </c>
    </row>
    <row r="115" spans="1:14" x14ac:dyDescent="0.25">
      <c r="A115" s="16" t="s">
        <v>138</v>
      </c>
      <c r="B115" s="17" t="s">
        <v>139</v>
      </c>
      <c r="C115" s="6"/>
      <c r="D115" s="6"/>
      <c r="E115" s="4"/>
      <c r="F115" s="4"/>
      <c r="G115" s="4"/>
      <c r="H115" s="4"/>
      <c r="I115" s="7"/>
      <c r="J115" s="7"/>
      <c r="K115" s="7">
        <v>2106.7800000000002</v>
      </c>
      <c r="L115" s="35"/>
      <c r="M115" s="35"/>
    </row>
    <row r="116" spans="1:14" x14ac:dyDescent="0.25">
      <c r="A116" s="16" t="s">
        <v>140</v>
      </c>
      <c r="B116" s="17" t="s">
        <v>139</v>
      </c>
      <c r="C116" s="6"/>
      <c r="D116" s="6"/>
      <c r="E116" s="4">
        <v>273.39</v>
      </c>
      <c r="F116" s="4">
        <f t="shared" ref="F116" si="42">E116*1.0357</f>
        <v>283.15002299999998</v>
      </c>
      <c r="G116" s="4">
        <v>302.64</v>
      </c>
      <c r="H116" s="4">
        <f t="shared" si="37"/>
        <v>334.98555792000002</v>
      </c>
      <c r="I116" s="7">
        <f t="shared" si="38"/>
        <v>288.01499999999999</v>
      </c>
      <c r="J116" s="7">
        <f t="shared" si="39"/>
        <v>309.06779045999997</v>
      </c>
      <c r="K116" s="7">
        <v>273.39</v>
      </c>
      <c r="L116" s="35">
        <f t="shared" si="40"/>
        <v>-5.0778605280974998E-2</v>
      </c>
      <c r="M116" s="35">
        <f t="shared" si="41"/>
        <v>-0.11543677976569178</v>
      </c>
    </row>
    <row r="117" spans="1:14" x14ac:dyDescent="0.25">
      <c r="L117"/>
      <c r="M117"/>
    </row>
    <row r="119" spans="1:14" x14ac:dyDescent="0.25">
      <c r="A119" s="53" t="s">
        <v>141</v>
      </c>
      <c r="B119" s="53"/>
      <c r="C119" s="53"/>
      <c r="D119" s="53"/>
      <c r="E119" s="53"/>
      <c r="F119" s="53"/>
      <c r="G119" s="53"/>
      <c r="H119" s="53"/>
      <c r="I119" s="53"/>
      <c r="J119" s="53"/>
      <c r="K119" s="53"/>
    </row>
    <row r="120" spans="1:14" ht="15" customHeight="1" x14ac:dyDescent="0.25">
      <c r="A120" s="53" t="s">
        <v>306</v>
      </c>
      <c r="B120" s="53" t="s">
        <v>53</v>
      </c>
      <c r="C120" s="53" t="s">
        <v>92</v>
      </c>
      <c r="D120" s="53"/>
      <c r="E120" s="53"/>
      <c r="F120" s="53"/>
      <c r="G120" s="52" t="s">
        <v>304</v>
      </c>
      <c r="H120" s="52" t="s">
        <v>322</v>
      </c>
      <c r="I120" s="52" t="s">
        <v>29</v>
      </c>
      <c r="J120" s="52" t="s">
        <v>323</v>
      </c>
      <c r="K120" s="52" t="s">
        <v>324</v>
      </c>
    </row>
    <row r="121" spans="1:14" x14ac:dyDescent="0.25">
      <c r="A121" s="53"/>
      <c r="B121" s="53"/>
      <c r="C121" s="5" t="s">
        <v>142</v>
      </c>
      <c r="D121" s="5" t="s">
        <v>143</v>
      </c>
      <c r="E121" s="5" t="s">
        <v>105</v>
      </c>
      <c r="F121" s="5" t="s">
        <v>117</v>
      </c>
      <c r="G121" s="52"/>
      <c r="H121" s="53"/>
      <c r="I121" s="52"/>
      <c r="J121" s="53"/>
      <c r="K121" s="53"/>
    </row>
    <row r="122" spans="1:14" x14ac:dyDescent="0.25">
      <c r="A122" s="16" t="s">
        <v>144</v>
      </c>
      <c r="B122" s="17" t="s">
        <v>145</v>
      </c>
      <c r="C122" s="6">
        <v>425.5</v>
      </c>
      <c r="D122" s="6">
        <v>425.5</v>
      </c>
      <c r="E122" s="6">
        <v>425.5</v>
      </c>
      <c r="F122" s="6"/>
      <c r="G122" s="24">
        <f>AVERAGE(C122:F122)</f>
        <v>425.5</v>
      </c>
      <c r="H122" s="24">
        <f>AVERAGE(C122:F122)</f>
        <v>425.5</v>
      </c>
      <c r="I122" s="24">
        <v>425.5</v>
      </c>
      <c r="J122" s="34">
        <f>($I122/G122)-1</f>
        <v>0</v>
      </c>
      <c r="K122" s="34">
        <f>($I122/H122)-1</f>
        <v>0</v>
      </c>
    </row>
    <row r="123" spans="1:14" x14ac:dyDescent="0.25">
      <c r="A123" s="16" t="s">
        <v>146</v>
      </c>
      <c r="B123" s="17" t="s">
        <v>337</v>
      </c>
      <c r="C123" s="6">
        <v>0.06</v>
      </c>
      <c r="D123" s="6"/>
      <c r="E123" s="6"/>
      <c r="F123" s="6"/>
      <c r="G123" s="24">
        <f t="shared" ref="G123:G125" si="43">AVERAGE(C123:F123)</f>
        <v>0.06</v>
      </c>
      <c r="H123" s="24">
        <f t="shared" ref="H123:H125" si="44">AVERAGE(C123:F123)</f>
        <v>0.06</v>
      </c>
      <c r="I123" s="24">
        <v>0.06</v>
      </c>
      <c r="J123" s="34">
        <f t="shared" ref="J123:J125" si="45">($I123/G123)-1</f>
        <v>0</v>
      </c>
      <c r="K123" s="34">
        <f t="shared" ref="K123:K125" si="46">($I123/H123)-1</f>
        <v>0</v>
      </c>
    </row>
    <row r="124" spans="1:14" x14ac:dyDescent="0.25">
      <c r="A124" s="16" t="s">
        <v>147</v>
      </c>
      <c r="B124" s="17" t="s">
        <v>337</v>
      </c>
      <c r="C124" s="6">
        <v>0.57999999999999996</v>
      </c>
      <c r="D124" s="6">
        <v>0.57999999999999996</v>
      </c>
      <c r="E124" s="6"/>
      <c r="F124" s="6">
        <v>0.57999999999999996</v>
      </c>
      <c r="G124" s="24">
        <f t="shared" si="43"/>
        <v>0.57999999999999996</v>
      </c>
      <c r="H124" s="24">
        <f t="shared" si="44"/>
        <v>0.57999999999999996</v>
      </c>
      <c r="I124" s="24">
        <v>0.57999999999999996</v>
      </c>
      <c r="J124" s="34">
        <f t="shared" si="45"/>
        <v>0</v>
      </c>
      <c r="K124" s="34">
        <f t="shared" si="46"/>
        <v>0</v>
      </c>
    </row>
    <row r="125" spans="1:14" x14ac:dyDescent="0.25">
      <c r="A125" s="16" t="s">
        <v>148</v>
      </c>
      <c r="B125" s="17" t="s">
        <v>149</v>
      </c>
      <c r="C125" s="6">
        <v>1891.13</v>
      </c>
      <c r="D125" s="6">
        <v>1891.13</v>
      </c>
      <c r="E125" s="6">
        <v>1891.13</v>
      </c>
      <c r="F125" s="6">
        <v>1891.13</v>
      </c>
      <c r="G125" s="24">
        <f t="shared" si="43"/>
        <v>1891.13</v>
      </c>
      <c r="H125" s="24">
        <f t="shared" si="44"/>
        <v>1891.13</v>
      </c>
      <c r="I125" s="24">
        <v>1891.13</v>
      </c>
      <c r="J125" s="34">
        <f t="shared" si="45"/>
        <v>0</v>
      </c>
      <c r="K125" s="34">
        <f t="shared" si="46"/>
        <v>0</v>
      </c>
    </row>
    <row r="126" spans="1:14" x14ac:dyDescent="0.25">
      <c r="J126"/>
      <c r="K126"/>
    </row>
    <row r="128" spans="1:14" x14ac:dyDescent="0.25">
      <c r="A128" s="53" t="s">
        <v>277</v>
      </c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</row>
    <row r="129" spans="1:14" x14ac:dyDescent="0.25">
      <c r="A129" s="53" t="s">
        <v>306</v>
      </c>
      <c r="B129" s="53" t="s">
        <v>53</v>
      </c>
      <c r="C129" s="53" t="s">
        <v>34</v>
      </c>
      <c r="D129" s="53"/>
      <c r="E129" s="53"/>
      <c r="F129" s="53"/>
      <c r="G129" s="53"/>
      <c r="H129" s="53"/>
      <c r="I129" s="53"/>
      <c r="J129" s="52" t="s">
        <v>304</v>
      </c>
      <c r="K129" s="52" t="s">
        <v>322</v>
      </c>
      <c r="L129" s="52" t="s">
        <v>29</v>
      </c>
      <c r="M129" s="52" t="s">
        <v>323</v>
      </c>
      <c r="N129" s="52" t="s">
        <v>324</v>
      </c>
    </row>
    <row r="130" spans="1:14" x14ac:dyDescent="0.25">
      <c r="A130" s="53"/>
      <c r="B130" s="53"/>
      <c r="C130" s="5" t="s">
        <v>36</v>
      </c>
      <c r="D130" s="5" t="s">
        <v>311</v>
      </c>
      <c r="E130" s="5" t="s">
        <v>263</v>
      </c>
      <c r="F130" s="5" t="s">
        <v>317</v>
      </c>
      <c r="G130" s="5" t="s">
        <v>278</v>
      </c>
      <c r="H130" s="5" t="s">
        <v>318</v>
      </c>
      <c r="I130" s="5" t="s">
        <v>252</v>
      </c>
      <c r="J130" s="52"/>
      <c r="K130" s="53"/>
      <c r="L130" s="52"/>
      <c r="M130" s="53"/>
      <c r="N130" s="53"/>
    </row>
    <row r="131" spans="1:14" x14ac:dyDescent="0.25">
      <c r="A131" s="16" t="s">
        <v>279</v>
      </c>
      <c r="B131" s="17" t="s">
        <v>38</v>
      </c>
      <c r="C131" s="3"/>
      <c r="D131" s="3"/>
      <c r="E131" s="3">
        <v>635.87</v>
      </c>
      <c r="F131" s="3">
        <f>E131*1.035673</f>
        <v>658.5533905100001</v>
      </c>
      <c r="G131" s="8">
        <v>635.87</v>
      </c>
      <c r="H131" s="8">
        <f>G131*1.044397</f>
        <v>664.10072038999999</v>
      </c>
      <c r="I131" s="6">
        <v>635.87</v>
      </c>
      <c r="J131" s="7">
        <f>AVERAGE(C131,E131,G131,I131)</f>
        <v>635.87</v>
      </c>
      <c r="K131" s="7">
        <f>AVERAGE(D131,F131,H131,I131)</f>
        <v>652.84137029999999</v>
      </c>
      <c r="L131" s="7">
        <v>635.87</v>
      </c>
      <c r="M131" s="35">
        <f>($L131/J131)-1</f>
        <v>0</v>
      </c>
      <c r="N131" s="35">
        <f>($L131/K131)-1</f>
        <v>-2.5996162424879898E-2</v>
      </c>
    </row>
    <row r="132" spans="1:14" x14ac:dyDescent="0.25">
      <c r="A132" s="16" t="s">
        <v>280</v>
      </c>
      <c r="B132" s="17" t="s">
        <v>38</v>
      </c>
      <c r="C132" s="3"/>
      <c r="D132" s="3"/>
      <c r="E132" s="3">
        <v>480.81</v>
      </c>
      <c r="F132" s="3">
        <f t="shared" ref="F132:F134" si="47">E132*1.035673</f>
        <v>497.96193513000003</v>
      </c>
      <c r="G132" s="8">
        <v>480.81</v>
      </c>
      <c r="H132" s="8">
        <f t="shared" ref="H132:H134" si="48">G132*1.044397</f>
        <v>502.15652157</v>
      </c>
      <c r="I132" s="6">
        <v>480.81</v>
      </c>
      <c r="J132" s="7">
        <f t="shared" ref="J132:J134" si="49">AVERAGE(C132,E132,G132,I132)</f>
        <v>480.81</v>
      </c>
      <c r="K132" s="7">
        <f t="shared" ref="K132:K134" si="50">AVERAGE(D132,F132,H132,I132)</f>
        <v>493.64281890000001</v>
      </c>
      <c r="L132" s="7">
        <v>480.81</v>
      </c>
      <c r="M132" s="35">
        <f t="shared" ref="M132:M134" si="51">($L132/J132)-1</f>
        <v>0</v>
      </c>
      <c r="N132" s="35">
        <f t="shared" ref="N132:N134" si="52">($L132/K132)-1</f>
        <v>-2.5996162424880009E-2</v>
      </c>
    </row>
    <row r="133" spans="1:14" x14ac:dyDescent="0.25">
      <c r="A133" s="16" t="s">
        <v>281</v>
      </c>
      <c r="B133" s="17" t="s">
        <v>338</v>
      </c>
      <c r="C133" s="3">
        <v>339</v>
      </c>
      <c r="D133" s="3">
        <f t="shared" ref="D133" si="53">C133*1.037494</f>
        <v>351.710466</v>
      </c>
      <c r="E133" s="3">
        <v>339</v>
      </c>
      <c r="F133" s="3">
        <f t="shared" si="47"/>
        <v>351.09314700000004</v>
      </c>
      <c r="G133" s="8">
        <v>339</v>
      </c>
      <c r="H133" s="8">
        <f t="shared" si="48"/>
        <v>354.05058300000002</v>
      </c>
      <c r="I133" s="6">
        <v>339</v>
      </c>
      <c r="J133" s="7">
        <f t="shared" si="49"/>
        <v>339</v>
      </c>
      <c r="K133" s="7">
        <f t="shared" si="50"/>
        <v>348.963549</v>
      </c>
      <c r="L133" s="7">
        <v>339</v>
      </c>
      <c r="M133" s="35">
        <f t="shared" si="51"/>
        <v>0</v>
      </c>
      <c r="N133" s="35">
        <f t="shared" si="52"/>
        <v>-2.8551833074118571E-2</v>
      </c>
    </row>
    <row r="134" spans="1:14" x14ac:dyDescent="0.25">
      <c r="A134" s="16" t="s">
        <v>282</v>
      </c>
      <c r="B134" s="17" t="s">
        <v>338</v>
      </c>
      <c r="C134" s="3"/>
      <c r="D134" s="3"/>
      <c r="E134" s="3">
        <v>479</v>
      </c>
      <c r="F134" s="3">
        <f t="shared" si="47"/>
        <v>496.08736700000003</v>
      </c>
      <c r="G134" s="8">
        <v>479</v>
      </c>
      <c r="H134" s="8">
        <f t="shared" si="48"/>
        <v>500.26616300000001</v>
      </c>
      <c r="I134" s="6">
        <v>479</v>
      </c>
      <c r="J134" s="7">
        <f t="shared" si="49"/>
        <v>479</v>
      </c>
      <c r="K134" s="7">
        <f t="shared" si="50"/>
        <v>491.78451000000001</v>
      </c>
      <c r="L134" s="7">
        <v>479</v>
      </c>
      <c r="M134" s="35">
        <f t="shared" si="51"/>
        <v>0</v>
      </c>
      <c r="N134" s="35">
        <f t="shared" si="52"/>
        <v>-2.5996162424880009E-2</v>
      </c>
    </row>
    <row r="137" spans="1:14" x14ac:dyDescent="0.25">
      <c r="A137" s="53" t="s">
        <v>283</v>
      </c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</row>
    <row r="138" spans="1:14" x14ac:dyDescent="0.25">
      <c r="A138" s="56" t="s">
        <v>306</v>
      </c>
      <c r="B138" s="56" t="s">
        <v>53</v>
      </c>
      <c r="C138" s="53" t="s">
        <v>92</v>
      </c>
      <c r="D138" s="53"/>
      <c r="E138" s="53"/>
      <c r="F138" s="53"/>
      <c r="G138" s="53"/>
      <c r="H138" s="53"/>
      <c r="I138" s="52" t="s">
        <v>304</v>
      </c>
      <c r="J138" s="52" t="s">
        <v>322</v>
      </c>
      <c r="K138" s="52" t="s">
        <v>29</v>
      </c>
      <c r="L138" s="52" t="s">
        <v>323</v>
      </c>
      <c r="M138" s="52" t="s">
        <v>324</v>
      </c>
    </row>
    <row r="139" spans="1:14" x14ac:dyDescent="0.25">
      <c r="A139" s="57"/>
      <c r="B139" s="57"/>
      <c r="C139" s="5" t="s">
        <v>55</v>
      </c>
      <c r="D139" s="5" t="s">
        <v>54</v>
      </c>
      <c r="E139" s="5" t="s">
        <v>313</v>
      </c>
      <c r="F139" s="5" t="s">
        <v>44</v>
      </c>
      <c r="G139" s="5" t="s">
        <v>70</v>
      </c>
      <c r="H139" s="5" t="s">
        <v>319</v>
      </c>
      <c r="I139" s="52"/>
      <c r="J139" s="53"/>
      <c r="K139" s="52"/>
      <c r="L139" s="53"/>
      <c r="M139" s="53"/>
    </row>
    <row r="140" spans="1:14" x14ac:dyDescent="0.25">
      <c r="A140" s="16" t="s">
        <v>284</v>
      </c>
      <c r="B140" s="17" t="s">
        <v>145</v>
      </c>
      <c r="C140" s="6">
        <v>1503.25</v>
      </c>
      <c r="D140" s="3">
        <v>1336.02</v>
      </c>
      <c r="E140" s="3">
        <f>D140*1.037494</f>
        <v>1386.11273388</v>
      </c>
      <c r="F140" s="6"/>
      <c r="G140" s="4">
        <v>1336.02</v>
      </c>
      <c r="H140" s="4">
        <f>G140*1.0640039267</f>
        <v>1421.5305261497342</v>
      </c>
      <c r="I140" s="7">
        <f>AVERAGE(C140,D140,F140,G140)</f>
        <v>1391.7633333333333</v>
      </c>
      <c r="J140" s="7">
        <f>AVERAGE(C140,E140,F140,H140)</f>
        <v>1436.9644200099112</v>
      </c>
      <c r="K140" s="7">
        <v>1336.02</v>
      </c>
      <c r="L140" s="35">
        <f>($K140/I140)-1</f>
        <v>-4.0052307743893234E-2</v>
      </c>
      <c r="M140" s="35">
        <f>($K140/J140)-1</f>
        <v>-7.0248378181287929E-2</v>
      </c>
    </row>
    <row r="141" spans="1:14" x14ac:dyDescent="0.25">
      <c r="A141" s="16" t="s">
        <v>285</v>
      </c>
      <c r="B141" s="17" t="s">
        <v>145</v>
      </c>
      <c r="C141" s="6">
        <v>7498.3</v>
      </c>
      <c r="D141" s="3">
        <v>7472.6</v>
      </c>
      <c r="E141" s="3">
        <f>D141*1.037494</f>
        <v>7752.7776643999996</v>
      </c>
      <c r="F141" s="6">
        <v>8747.7999999999993</v>
      </c>
      <c r="G141" s="4">
        <v>7472.6</v>
      </c>
      <c r="H141" s="4">
        <f>G141*1.0640039267</f>
        <v>7950.8757426584216</v>
      </c>
      <c r="I141" s="7">
        <f>AVERAGE(C141,D141,F141,G141)</f>
        <v>7797.8250000000007</v>
      </c>
      <c r="J141" s="7">
        <f>AVERAGE(C141,E141,F141,H141)</f>
        <v>7987.4383517646056</v>
      </c>
      <c r="K141" s="7">
        <v>8474.7999999999993</v>
      </c>
      <c r="L141" s="35">
        <f>($K141/I141)-1</f>
        <v>8.681587493948606E-2</v>
      </c>
      <c r="M141" s="35">
        <f>($K141/J141)-1</f>
        <v>6.1016013742093422E-2</v>
      </c>
    </row>
    <row r="142" spans="1:14" x14ac:dyDescent="0.25">
      <c r="L142"/>
      <c r="M142"/>
    </row>
    <row r="143" spans="1:14" x14ac:dyDescent="0.25">
      <c r="L143"/>
      <c r="M143"/>
    </row>
    <row r="144" spans="1:14" x14ac:dyDescent="0.25">
      <c r="A144" s="53" t="s">
        <v>286</v>
      </c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</row>
    <row r="145" spans="1:14" x14ac:dyDescent="0.25">
      <c r="A145" s="56" t="s">
        <v>306</v>
      </c>
      <c r="B145" s="56" t="s">
        <v>53</v>
      </c>
      <c r="C145" s="53" t="s">
        <v>34</v>
      </c>
      <c r="D145" s="53"/>
      <c r="E145" s="53"/>
      <c r="F145" s="53"/>
      <c r="G145" s="53"/>
      <c r="H145" s="53"/>
      <c r="I145" s="52" t="s">
        <v>304</v>
      </c>
      <c r="J145" s="52" t="s">
        <v>322</v>
      </c>
      <c r="K145" s="52" t="s">
        <v>29</v>
      </c>
      <c r="L145" s="52" t="s">
        <v>323</v>
      </c>
      <c r="M145" s="52" t="s">
        <v>324</v>
      </c>
    </row>
    <row r="146" spans="1:14" x14ac:dyDescent="0.25">
      <c r="A146" s="57"/>
      <c r="B146" s="57"/>
      <c r="C146" s="5" t="s">
        <v>209</v>
      </c>
      <c r="D146" s="5" t="s">
        <v>320</v>
      </c>
      <c r="E146" s="5" t="s">
        <v>204</v>
      </c>
      <c r="F146" s="5" t="s">
        <v>321</v>
      </c>
      <c r="G146" s="11" t="s">
        <v>81</v>
      </c>
      <c r="H146" s="11" t="s">
        <v>310</v>
      </c>
      <c r="I146" s="52"/>
      <c r="J146" s="53"/>
      <c r="K146" s="52"/>
      <c r="L146" s="53"/>
      <c r="M146" s="53"/>
    </row>
    <row r="147" spans="1:14" x14ac:dyDescent="0.25">
      <c r="A147" s="16" t="s">
        <v>287</v>
      </c>
      <c r="B147" s="17" t="s">
        <v>339</v>
      </c>
      <c r="C147" s="3">
        <v>2121.42</v>
      </c>
      <c r="D147" s="3">
        <f>C147*1.106878</f>
        <v>2348.1531267600003</v>
      </c>
      <c r="E147" s="3"/>
      <c r="F147" s="3"/>
      <c r="G147" s="8">
        <v>2121.42</v>
      </c>
      <c r="H147" s="8">
        <f>G147*1.035673</f>
        <v>2197.09741566</v>
      </c>
      <c r="I147" s="7">
        <f>AVERAGE(C147,E147,G147)</f>
        <v>2121.42</v>
      </c>
      <c r="J147" s="7">
        <f>AVERAGE(D147,F147,H147)</f>
        <v>2272.6252712100004</v>
      </c>
      <c r="K147" s="7">
        <v>2121.42</v>
      </c>
      <c r="L147" s="35">
        <f>($K147/I147)-1</f>
        <v>0</v>
      </c>
      <c r="M147" s="35">
        <f>($K147/J147)-1</f>
        <v>-6.6533305391563768E-2</v>
      </c>
      <c r="N147"/>
    </row>
    <row r="148" spans="1:14" x14ac:dyDescent="0.25">
      <c r="A148" s="16" t="s">
        <v>288</v>
      </c>
      <c r="B148" s="17" t="s">
        <v>289</v>
      </c>
      <c r="C148" s="3">
        <v>1633.66</v>
      </c>
      <c r="D148" s="3">
        <f t="shared" ref="D148:D149" si="54">C148*1.106878</f>
        <v>1808.2623134800001</v>
      </c>
      <c r="E148" s="3"/>
      <c r="F148" s="3"/>
      <c r="G148" s="8">
        <v>1633.66</v>
      </c>
      <c r="H148" s="8">
        <f t="shared" ref="H148:H149" si="55">G148*1.035673</f>
        <v>1691.9375531800001</v>
      </c>
      <c r="I148" s="7">
        <f t="shared" ref="I148:I149" si="56">AVERAGE(C148,E148,G148)</f>
        <v>1633.66</v>
      </c>
      <c r="J148" s="7">
        <f t="shared" ref="J148:J149" si="57">AVERAGE(D148,F148,H148)</f>
        <v>1750.0999333300001</v>
      </c>
      <c r="K148" s="7">
        <v>1633.66</v>
      </c>
      <c r="L148" s="35">
        <f t="shared" ref="L148:L149" si="58">($K148/I148)-1</f>
        <v>0</v>
      </c>
      <c r="M148" s="35">
        <f t="shared" ref="M148:M149" si="59">($K148/J148)-1</f>
        <v>-6.6533305391563657E-2</v>
      </c>
      <c r="N148"/>
    </row>
    <row r="149" spans="1:14" x14ac:dyDescent="0.25">
      <c r="A149" s="16" t="s">
        <v>290</v>
      </c>
      <c r="B149" s="17" t="s">
        <v>38</v>
      </c>
      <c r="C149" s="3">
        <v>300.93</v>
      </c>
      <c r="D149" s="3">
        <f t="shared" si="54"/>
        <v>333.09279653999999</v>
      </c>
      <c r="E149" s="3">
        <v>300.93</v>
      </c>
      <c r="F149" s="3">
        <f t="shared" ref="F149" si="60">E149*1.032934</f>
        <v>310.84082862000002</v>
      </c>
      <c r="G149" s="8">
        <v>300.93</v>
      </c>
      <c r="H149" s="8">
        <f t="shared" si="55"/>
        <v>311.66507589000003</v>
      </c>
      <c r="I149" s="7">
        <f t="shared" si="56"/>
        <v>300.93</v>
      </c>
      <c r="J149" s="7">
        <f t="shared" si="57"/>
        <v>318.53290035000003</v>
      </c>
      <c r="K149" s="7">
        <v>300.93</v>
      </c>
      <c r="L149" s="35">
        <f t="shared" si="58"/>
        <v>0</v>
      </c>
      <c r="M149" s="35">
        <f t="shared" si="59"/>
        <v>-5.5262424480040151E-2</v>
      </c>
      <c r="N149"/>
    </row>
    <row r="150" spans="1:14" x14ac:dyDescent="0.25">
      <c r="M150"/>
      <c r="N150"/>
    </row>
    <row r="152" spans="1:14" x14ac:dyDescent="0.25">
      <c r="A152" s="53" t="s">
        <v>291</v>
      </c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</row>
    <row r="153" spans="1:14" ht="15" customHeight="1" x14ac:dyDescent="0.25">
      <c r="A153" s="56" t="s">
        <v>306</v>
      </c>
      <c r="B153" s="56" t="s">
        <v>53</v>
      </c>
      <c r="C153" s="53" t="s">
        <v>34</v>
      </c>
      <c r="D153" s="53"/>
      <c r="E153" s="53"/>
      <c r="F153" s="53"/>
      <c r="G153" s="53"/>
      <c r="H153" s="53"/>
      <c r="I153" s="53"/>
      <c r="J153" s="52" t="s">
        <v>304</v>
      </c>
      <c r="K153" s="52" t="s">
        <v>322</v>
      </c>
      <c r="L153" s="52" t="s">
        <v>29</v>
      </c>
      <c r="M153" s="52" t="s">
        <v>323</v>
      </c>
      <c r="N153" s="52" t="s">
        <v>324</v>
      </c>
    </row>
    <row r="154" spans="1:14" x14ac:dyDescent="0.25">
      <c r="A154" s="57"/>
      <c r="B154" s="57"/>
      <c r="C154" s="5" t="s">
        <v>292</v>
      </c>
      <c r="D154" s="5" t="s">
        <v>233</v>
      </c>
      <c r="E154" s="5" t="s">
        <v>236</v>
      </c>
      <c r="F154" s="5" t="s">
        <v>27</v>
      </c>
      <c r="G154" s="5" t="s">
        <v>308</v>
      </c>
      <c r="H154" s="5" t="s">
        <v>28</v>
      </c>
      <c r="I154" s="5" t="s">
        <v>309</v>
      </c>
      <c r="J154" s="52"/>
      <c r="K154" s="53"/>
      <c r="L154" s="52"/>
      <c r="M154" s="53"/>
      <c r="N154" s="53"/>
    </row>
    <row r="155" spans="1:14" x14ac:dyDescent="0.25">
      <c r="A155" s="16" t="s">
        <v>293</v>
      </c>
      <c r="B155" s="17" t="s">
        <v>139</v>
      </c>
      <c r="C155" s="6"/>
      <c r="D155" s="6"/>
      <c r="E155" s="6"/>
      <c r="F155" s="3">
        <v>586.08000000000004</v>
      </c>
      <c r="G155" s="3">
        <f>F155*1.052635</f>
        <v>616.92832080000005</v>
      </c>
      <c r="H155" s="4">
        <v>586.08000000000004</v>
      </c>
      <c r="I155" s="4">
        <f>H155*1.0654</f>
        <v>624.40963199999999</v>
      </c>
      <c r="J155" s="7">
        <f>AVERAGE(C155:F155,H155)</f>
        <v>586.08000000000004</v>
      </c>
      <c r="K155" s="7">
        <f>AVERAGE(C155:E155,G155,I155)</f>
        <v>620.66897640000002</v>
      </c>
      <c r="L155" s="7">
        <v>586.08000000000004</v>
      </c>
      <c r="M155" s="35">
        <f>($L155/J155)-1</f>
        <v>0</v>
      </c>
      <c r="N155" s="35">
        <f>($L155/K155)-1</f>
        <v>-5.5728540840920937E-2</v>
      </c>
    </row>
    <row r="156" spans="1:14" x14ac:dyDescent="0.25">
      <c r="A156" s="16" t="s">
        <v>294</v>
      </c>
      <c r="B156" s="17"/>
      <c r="C156" s="6"/>
      <c r="D156" s="6"/>
      <c r="E156" s="6"/>
      <c r="F156" s="3"/>
      <c r="G156" s="3"/>
      <c r="H156" s="4"/>
      <c r="I156" s="4"/>
      <c r="J156" s="7"/>
      <c r="K156" s="7"/>
      <c r="L156" s="7"/>
      <c r="M156" s="35"/>
      <c r="N156" s="35"/>
    </row>
    <row r="157" spans="1:14" x14ac:dyDescent="0.25">
      <c r="A157" s="16" t="s">
        <v>295</v>
      </c>
      <c r="B157" s="17" t="s">
        <v>296</v>
      </c>
      <c r="C157" s="6">
        <v>10.33</v>
      </c>
      <c r="D157" s="6">
        <v>10.33</v>
      </c>
      <c r="E157" s="6">
        <v>10.33</v>
      </c>
      <c r="F157" s="3"/>
      <c r="G157" s="3"/>
      <c r="H157" s="4">
        <v>10.33</v>
      </c>
      <c r="I157" s="4">
        <f>H157*1.0654</f>
        <v>11.005581999999999</v>
      </c>
      <c r="J157" s="7">
        <f t="shared" ref="J157" si="61">AVERAGE(C157:F157,H157)</f>
        <v>10.33</v>
      </c>
      <c r="K157" s="7">
        <f t="shared" ref="K157" si="62">AVERAGE(C157:E157,G157,I157)</f>
        <v>10.4988955</v>
      </c>
      <c r="L157" s="7">
        <v>10.33</v>
      </c>
      <c r="M157" s="35">
        <f t="shared" ref="M157" si="63">($L157/J157)-1</f>
        <v>0</v>
      </c>
      <c r="N157" s="35">
        <f t="shared" ref="N157" si="64">($L157/K157)-1</f>
        <v>-1.6086977911152656E-2</v>
      </c>
    </row>
    <row r="158" spans="1:14" x14ac:dyDescent="0.25">
      <c r="M158"/>
      <c r="N158"/>
    </row>
    <row r="159" spans="1:14" x14ac:dyDescent="0.25">
      <c r="M159"/>
      <c r="N159"/>
    </row>
    <row r="162" spans="10:11" x14ac:dyDescent="0.25">
      <c r="J162"/>
      <c r="K162"/>
    </row>
    <row r="163" spans="10:11" x14ac:dyDescent="0.25">
      <c r="J163"/>
      <c r="K163"/>
    </row>
    <row r="164" spans="10:11" x14ac:dyDescent="0.25">
      <c r="J164"/>
      <c r="K164"/>
    </row>
  </sheetData>
  <mergeCells count="175">
    <mergeCell ref="B92:B93"/>
    <mergeCell ref="A145:A146"/>
    <mergeCell ref="B145:B146"/>
    <mergeCell ref="A138:A139"/>
    <mergeCell ref="B138:B139"/>
    <mergeCell ref="C76:E76"/>
    <mergeCell ref="D9:I9"/>
    <mergeCell ref="D28:L28"/>
    <mergeCell ref="G25:J25"/>
    <mergeCell ref="H98:H99"/>
    <mergeCell ref="I98:I99"/>
    <mergeCell ref="J98:J99"/>
    <mergeCell ref="K98:K99"/>
    <mergeCell ref="L98:L99"/>
    <mergeCell ref="A97:L97"/>
    <mergeCell ref="I109:I110"/>
    <mergeCell ref="J109:J110"/>
    <mergeCell ref="K109:K110"/>
    <mergeCell ref="C98:G98"/>
    <mergeCell ref="B28:B29"/>
    <mergeCell ref="A28:A29"/>
    <mergeCell ref="C28:C29"/>
    <mergeCell ref="J76:J77"/>
    <mergeCell ref="A2:A3"/>
    <mergeCell ref="C2:C3"/>
    <mergeCell ref="D2:D3"/>
    <mergeCell ref="M2:M3"/>
    <mergeCell ref="K2:K3"/>
    <mergeCell ref="D50:F50"/>
    <mergeCell ref="C57:H57"/>
    <mergeCell ref="B17:B18"/>
    <mergeCell ref="A17:A18"/>
    <mergeCell ref="C17:C18"/>
    <mergeCell ref="C9:C10"/>
    <mergeCell ref="B42:B43"/>
    <mergeCell ref="H42:H43"/>
    <mergeCell ref="J42:J43"/>
    <mergeCell ref="A42:A43"/>
    <mergeCell ref="C42:C43"/>
    <mergeCell ref="B9:B10"/>
    <mergeCell ref="A9:A10"/>
    <mergeCell ref="L9:L10"/>
    <mergeCell ref="J9:J10"/>
    <mergeCell ref="A16:P16"/>
    <mergeCell ref="N28:N29"/>
    <mergeCell ref="P28:P29"/>
    <mergeCell ref="D17:K17"/>
    <mergeCell ref="A1:O1"/>
    <mergeCell ref="J153:J154"/>
    <mergeCell ref="K153:K154"/>
    <mergeCell ref="A153:A154"/>
    <mergeCell ref="B153:B154"/>
    <mergeCell ref="E2:J2"/>
    <mergeCell ref="L2:L3"/>
    <mergeCell ref="K9:K10"/>
    <mergeCell ref="A8:N8"/>
    <mergeCell ref="G50:G51"/>
    <mergeCell ref="H50:H51"/>
    <mergeCell ref="I50:I51"/>
    <mergeCell ref="J50:J51"/>
    <mergeCell ref="K50:K51"/>
    <mergeCell ref="A54:C54"/>
    <mergeCell ref="A49:K49"/>
    <mergeCell ref="I57:I58"/>
    <mergeCell ref="J57:J58"/>
    <mergeCell ref="C109:H109"/>
    <mergeCell ref="A109:A110"/>
    <mergeCell ref="B109:B110"/>
    <mergeCell ref="B98:B99"/>
    <mergeCell ref="A98:A99"/>
    <mergeCell ref="A129:A130"/>
    <mergeCell ref="W3:X3"/>
    <mergeCell ref="W4:X4"/>
    <mergeCell ref="W5:X5"/>
    <mergeCell ref="W6:X6"/>
    <mergeCell ref="W7:X7"/>
    <mergeCell ref="V2:X2"/>
    <mergeCell ref="N2:N3"/>
    <mergeCell ref="O2:O3"/>
    <mergeCell ref="N17:N18"/>
    <mergeCell ref="M9:M10"/>
    <mergeCell ref="N9:N10"/>
    <mergeCell ref="A27:Q27"/>
    <mergeCell ref="I42:I43"/>
    <mergeCell ref="D42:G42"/>
    <mergeCell ref="K42:K43"/>
    <mergeCell ref="L42:L43"/>
    <mergeCell ref="A41:L41"/>
    <mergeCell ref="L17:L18"/>
    <mergeCell ref="M17:M18"/>
    <mergeCell ref="O17:O18"/>
    <mergeCell ref="P17:P18"/>
    <mergeCell ref="M57:M58"/>
    <mergeCell ref="A56:M56"/>
    <mergeCell ref="G68:G69"/>
    <mergeCell ref="H68:H69"/>
    <mergeCell ref="I68:I69"/>
    <mergeCell ref="J68:J69"/>
    <mergeCell ref="K68:K69"/>
    <mergeCell ref="A67:K67"/>
    <mergeCell ref="Q28:Q29"/>
    <mergeCell ref="B68:B69"/>
    <mergeCell ref="A68:A69"/>
    <mergeCell ref="B57:B58"/>
    <mergeCell ref="A57:A58"/>
    <mergeCell ref="A50:A51"/>
    <mergeCell ref="B50:B51"/>
    <mergeCell ref="C50:C51"/>
    <mergeCell ref="K57:K58"/>
    <mergeCell ref="L57:L58"/>
    <mergeCell ref="M28:M29"/>
    <mergeCell ref="O28:O29"/>
    <mergeCell ref="A75:J75"/>
    <mergeCell ref="E83:E84"/>
    <mergeCell ref="F83:F84"/>
    <mergeCell ref="G83:G84"/>
    <mergeCell ref="H83:H84"/>
    <mergeCell ref="I83:I84"/>
    <mergeCell ref="A82:I82"/>
    <mergeCell ref="E92:E93"/>
    <mergeCell ref="F92:F93"/>
    <mergeCell ref="G92:G93"/>
    <mergeCell ref="H92:H93"/>
    <mergeCell ref="I92:I93"/>
    <mergeCell ref="A91:I91"/>
    <mergeCell ref="B83:B84"/>
    <mergeCell ref="A83:A84"/>
    <mergeCell ref="B76:B77"/>
    <mergeCell ref="A76:A77"/>
    <mergeCell ref="F76:F77"/>
    <mergeCell ref="G76:G77"/>
    <mergeCell ref="H76:H77"/>
    <mergeCell ref="I76:I77"/>
    <mergeCell ref="C92:D92"/>
    <mergeCell ref="C83:D83"/>
    <mergeCell ref="A92:A93"/>
    <mergeCell ref="L109:L110"/>
    <mergeCell ref="M109:M110"/>
    <mergeCell ref="A108:M108"/>
    <mergeCell ref="I120:I121"/>
    <mergeCell ref="J120:J121"/>
    <mergeCell ref="K120:K121"/>
    <mergeCell ref="A119:K119"/>
    <mergeCell ref="J129:J130"/>
    <mergeCell ref="K129:K130"/>
    <mergeCell ref="L129:L130"/>
    <mergeCell ref="M129:M130"/>
    <mergeCell ref="B129:B130"/>
    <mergeCell ref="G120:G121"/>
    <mergeCell ref="H120:H121"/>
    <mergeCell ref="B120:B121"/>
    <mergeCell ref="A120:A121"/>
    <mergeCell ref="C129:I129"/>
    <mergeCell ref="C120:F120"/>
    <mergeCell ref="L153:L154"/>
    <mergeCell ref="M153:M154"/>
    <mergeCell ref="N153:N154"/>
    <mergeCell ref="A152:N152"/>
    <mergeCell ref="N129:N130"/>
    <mergeCell ref="A128:N128"/>
    <mergeCell ref="I138:I139"/>
    <mergeCell ref="J138:J139"/>
    <mergeCell ref="K138:K139"/>
    <mergeCell ref="L138:L139"/>
    <mergeCell ref="M138:M139"/>
    <mergeCell ref="A137:M137"/>
    <mergeCell ref="I145:I146"/>
    <mergeCell ref="J145:J146"/>
    <mergeCell ref="K145:K146"/>
    <mergeCell ref="L145:L146"/>
    <mergeCell ref="M145:M146"/>
    <mergeCell ref="A144:M144"/>
    <mergeCell ref="C153:I153"/>
    <mergeCell ref="C145:H145"/>
    <mergeCell ref="C138:H138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A4D4E-117F-42F7-9630-FC97D47E4F81}">
  <dimension ref="A1:G39"/>
  <sheetViews>
    <sheetView topLeftCell="A12" workbookViewId="0">
      <selection activeCell="A14" sqref="A14"/>
    </sheetView>
  </sheetViews>
  <sheetFormatPr defaultRowHeight="15" x14ac:dyDescent="0.25"/>
  <cols>
    <col min="1" max="1" width="73.5703125" bestFit="1" customWidth="1"/>
    <col min="2" max="2" width="18.7109375" bestFit="1" customWidth="1"/>
    <col min="3" max="3" width="20.42578125" customWidth="1"/>
    <col min="4" max="4" width="27" customWidth="1"/>
    <col min="5" max="5" width="12.28515625" bestFit="1" customWidth="1"/>
    <col min="6" max="6" width="10.42578125" bestFit="1" customWidth="1"/>
    <col min="7" max="7" width="18.85546875" style="1" bestFit="1" customWidth="1"/>
  </cols>
  <sheetData>
    <row r="1" spans="1:7" ht="30" x14ac:dyDescent="0.25">
      <c r="A1" s="14" t="s">
        <v>150</v>
      </c>
      <c r="B1" s="14" t="s">
        <v>151</v>
      </c>
      <c r="C1" s="15" t="s">
        <v>152</v>
      </c>
      <c r="D1" s="14" t="s">
        <v>307</v>
      </c>
      <c r="E1" s="14" t="s">
        <v>153</v>
      </c>
      <c r="F1" s="14" t="s">
        <v>154</v>
      </c>
      <c r="G1" s="14" t="s">
        <v>155</v>
      </c>
    </row>
    <row r="2" spans="1:7" x14ac:dyDescent="0.25">
      <c r="A2" t="s">
        <v>156</v>
      </c>
      <c r="B2" t="s">
        <v>43</v>
      </c>
      <c r="C2" t="s">
        <v>157</v>
      </c>
      <c r="D2" t="s">
        <v>158</v>
      </c>
      <c r="E2" s="2">
        <v>44343</v>
      </c>
      <c r="F2" s="2">
        <v>46169</v>
      </c>
      <c r="G2" s="1" t="s">
        <v>340</v>
      </c>
    </row>
    <row r="3" spans="1:7" x14ac:dyDescent="0.25">
      <c r="C3" t="s">
        <v>159</v>
      </c>
      <c r="D3" t="s">
        <v>160</v>
      </c>
      <c r="E3" s="2">
        <v>45512</v>
      </c>
      <c r="F3" s="2">
        <v>47338</v>
      </c>
    </row>
    <row r="4" spans="1:7" x14ac:dyDescent="0.25">
      <c r="A4" t="s">
        <v>161</v>
      </c>
      <c r="B4" t="s">
        <v>27</v>
      </c>
      <c r="C4" t="s">
        <v>162</v>
      </c>
      <c r="D4" t="s">
        <v>163</v>
      </c>
      <c r="E4" s="2">
        <v>45510</v>
      </c>
      <c r="F4" s="2">
        <v>46605</v>
      </c>
    </row>
    <row r="5" spans="1:7" x14ac:dyDescent="0.25">
      <c r="A5" t="s">
        <v>164</v>
      </c>
      <c r="B5" t="s">
        <v>44</v>
      </c>
      <c r="C5" t="s">
        <v>165</v>
      </c>
      <c r="D5" t="s">
        <v>158</v>
      </c>
      <c r="E5" s="2">
        <v>46017</v>
      </c>
      <c r="F5" s="2">
        <v>46382</v>
      </c>
      <c r="G5" s="1" t="s">
        <v>166</v>
      </c>
    </row>
    <row r="6" spans="1:7" x14ac:dyDescent="0.25">
      <c r="A6" t="s">
        <v>167</v>
      </c>
      <c r="B6" t="s">
        <v>168</v>
      </c>
      <c r="C6" t="s">
        <v>169</v>
      </c>
      <c r="D6" t="s">
        <v>170</v>
      </c>
      <c r="E6" s="2">
        <v>45650</v>
      </c>
      <c r="F6" s="2">
        <v>47476</v>
      </c>
      <c r="G6" s="1" t="s">
        <v>171</v>
      </c>
    </row>
    <row r="7" spans="1:7" x14ac:dyDescent="0.25">
      <c r="A7" t="s">
        <v>172</v>
      </c>
      <c r="B7" t="s">
        <v>56</v>
      </c>
      <c r="C7" t="s">
        <v>173</v>
      </c>
      <c r="D7" t="s">
        <v>160</v>
      </c>
      <c r="E7" s="2">
        <v>46009</v>
      </c>
      <c r="F7" s="2">
        <v>46374</v>
      </c>
      <c r="G7" s="1" t="s">
        <v>174</v>
      </c>
    </row>
    <row r="8" spans="1:7" x14ac:dyDescent="0.25">
      <c r="A8" t="s">
        <v>175</v>
      </c>
      <c r="B8" t="s">
        <v>36</v>
      </c>
      <c r="C8" t="s">
        <v>176</v>
      </c>
      <c r="D8" t="s">
        <v>177</v>
      </c>
      <c r="E8" s="2">
        <v>45705</v>
      </c>
      <c r="F8" s="2">
        <v>47531</v>
      </c>
      <c r="G8" s="1" t="s">
        <v>178</v>
      </c>
    </row>
    <row r="9" spans="1:7" x14ac:dyDescent="0.25">
      <c r="A9" t="s">
        <v>179</v>
      </c>
      <c r="B9" t="s">
        <v>93</v>
      </c>
      <c r="C9" t="s">
        <v>180</v>
      </c>
      <c r="D9" t="s">
        <v>177</v>
      </c>
      <c r="E9" s="2">
        <v>46013</v>
      </c>
      <c r="F9" s="2">
        <v>47108</v>
      </c>
      <c r="G9" s="1" t="s">
        <v>181</v>
      </c>
    </row>
    <row r="10" spans="1:7" x14ac:dyDescent="0.25">
      <c r="A10" t="s">
        <v>182</v>
      </c>
      <c r="B10" t="s">
        <v>183</v>
      </c>
      <c r="C10" t="s">
        <v>184</v>
      </c>
      <c r="D10" t="s">
        <v>185</v>
      </c>
      <c r="E10" s="2">
        <v>45190</v>
      </c>
      <c r="F10" s="2">
        <v>46285</v>
      </c>
      <c r="G10" s="1" t="s">
        <v>186</v>
      </c>
    </row>
    <row r="11" spans="1:7" x14ac:dyDescent="0.25">
      <c r="C11" t="s">
        <v>187</v>
      </c>
      <c r="D11" t="s">
        <v>188</v>
      </c>
      <c r="E11" s="2">
        <v>45988</v>
      </c>
      <c r="F11" s="2">
        <v>46352</v>
      </c>
      <c r="G11" s="1" t="s">
        <v>189</v>
      </c>
    </row>
    <row r="12" spans="1:7" x14ac:dyDescent="0.25">
      <c r="A12" t="s">
        <v>190</v>
      </c>
      <c r="B12" t="s">
        <v>191</v>
      </c>
      <c r="C12" t="s">
        <v>192</v>
      </c>
      <c r="D12" t="s">
        <v>185</v>
      </c>
      <c r="E12" s="2">
        <v>45915</v>
      </c>
      <c r="F12" s="2">
        <v>46279</v>
      </c>
      <c r="G12" s="1" t="s">
        <v>193</v>
      </c>
    </row>
    <row r="13" spans="1:7" x14ac:dyDescent="0.25">
      <c r="C13" t="s">
        <v>194</v>
      </c>
      <c r="D13" t="s">
        <v>10</v>
      </c>
      <c r="E13" s="2">
        <v>45912</v>
      </c>
      <c r="F13" s="2">
        <v>46276</v>
      </c>
    </row>
    <row r="14" spans="1:7" x14ac:dyDescent="0.25">
      <c r="A14" t="s">
        <v>195</v>
      </c>
      <c r="B14" t="s">
        <v>196</v>
      </c>
      <c r="C14" t="s">
        <v>197</v>
      </c>
      <c r="D14" t="s">
        <v>185</v>
      </c>
      <c r="E14" s="2">
        <v>45826</v>
      </c>
      <c r="F14" s="2">
        <v>47651</v>
      </c>
      <c r="G14" s="1" t="s">
        <v>198</v>
      </c>
    </row>
    <row r="15" spans="1:7" x14ac:dyDescent="0.25">
      <c r="A15" t="s">
        <v>199</v>
      </c>
      <c r="B15" t="s">
        <v>200</v>
      </c>
      <c r="C15" t="s">
        <v>201</v>
      </c>
      <c r="D15" t="s">
        <v>158</v>
      </c>
      <c r="E15" s="2">
        <v>46036</v>
      </c>
      <c r="F15" s="2">
        <v>47862</v>
      </c>
      <c r="G15" s="1" t="s">
        <v>202</v>
      </c>
    </row>
    <row r="16" spans="1:7" x14ac:dyDescent="0.25">
      <c r="A16" t="s">
        <v>203</v>
      </c>
      <c r="B16" t="s">
        <v>204</v>
      </c>
      <c r="C16" t="s">
        <v>205</v>
      </c>
      <c r="D16" t="s">
        <v>206</v>
      </c>
      <c r="E16" s="2">
        <v>45727</v>
      </c>
      <c r="F16" s="2">
        <v>46823</v>
      </c>
      <c r="G16" s="1" t="s">
        <v>207</v>
      </c>
    </row>
    <row r="17" spans="1:7" x14ac:dyDescent="0.25">
      <c r="A17" t="s">
        <v>208</v>
      </c>
      <c r="B17" t="s">
        <v>209</v>
      </c>
      <c r="C17" t="s">
        <v>210</v>
      </c>
      <c r="D17" t="s">
        <v>206</v>
      </c>
      <c r="E17" s="2">
        <v>45475</v>
      </c>
      <c r="F17" s="2">
        <v>47301</v>
      </c>
      <c r="G17" s="1" t="s">
        <v>211</v>
      </c>
    </row>
    <row r="18" spans="1:7" x14ac:dyDescent="0.25">
      <c r="A18" t="s">
        <v>212</v>
      </c>
      <c r="B18" t="s">
        <v>77</v>
      </c>
      <c r="C18" t="s">
        <v>213</v>
      </c>
      <c r="D18" t="s">
        <v>214</v>
      </c>
      <c r="E18" s="2">
        <v>46031</v>
      </c>
      <c r="F18" s="2">
        <v>46396</v>
      </c>
      <c r="G18" s="1" t="s">
        <v>215</v>
      </c>
    </row>
    <row r="19" spans="1:7" x14ac:dyDescent="0.25">
      <c r="A19" t="s">
        <v>216</v>
      </c>
      <c r="B19" t="s">
        <v>28</v>
      </c>
      <c r="C19" t="s">
        <v>217</v>
      </c>
      <c r="D19" t="s">
        <v>218</v>
      </c>
      <c r="E19" s="2">
        <v>45492</v>
      </c>
      <c r="F19" s="2">
        <v>46587</v>
      </c>
      <c r="G19" s="1" t="s">
        <v>219</v>
      </c>
    </row>
    <row r="20" spans="1:7" x14ac:dyDescent="0.25">
      <c r="A20" t="s">
        <v>220</v>
      </c>
      <c r="B20" t="s">
        <v>70</v>
      </c>
      <c r="C20" t="s">
        <v>221</v>
      </c>
      <c r="D20" t="s">
        <v>222</v>
      </c>
      <c r="E20" s="2">
        <v>45301</v>
      </c>
      <c r="F20" s="2">
        <v>47128</v>
      </c>
      <c r="G20" s="1" t="s">
        <v>223</v>
      </c>
    </row>
    <row r="21" spans="1:7" x14ac:dyDescent="0.25">
      <c r="A21" t="s">
        <v>224</v>
      </c>
      <c r="B21" t="s">
        <v>58</v>
      </c>
      <c r="C21" t="s">
        <v>225</v>
      </c>
      <c r="D21" t="s">
        <v>160</v>
      </c>
      <c r="E21" s="2">
        <v>46028</v>
      </c>
      <c r="F21" s="2">
        <v>47124</v>
      </c>
      <c r="G21" s="1" t="s">
        <v>226</v>
      </c>
    </row>
    <row r="22" spans="1:7" x14ac:dyDescent="0.25">
      <c r="A22" t="s">
        <v>227</v>
      </c>
      <c r="B22" t="s">
        <v>228</v>
      </c>
      <c r="C22" t="s">
        <v>229</v>
      </c>
      <c r="D22" t="s">
        <v>230</v>
      </c>
      <c r="E22" s="2">
        <v>45987</v>
      </c>
      <c r="F22" s="2">
        <v>46351</v>
      </c>
      <c r="G22" s="1" t="s">
        <v>231</v>
      </c>
    </row>
    <row r="23" spans="1:7" x14ac:dyDescent="0.25">
      <c r="A23" t="s">
        <v>232</v>
      </c>
      <c r="B23" t="s">
        <v>233</v>
      </c>
      <c r="C23" t="s">
        <v>234</v>
      </c>
      <c r="D23" t="s">
        <v>230</v>
      </c>
      <c r="E23" s="2">
        <v>45835</v>
      </c>
      <c r="F23" s="2">
        <v>46931</v>
      </c>
      <c r="G23" s="1">
        <v>10815697</v>
      </c>
    </row>
    <row r="24" spans="1:7" x14ac:dyDescent="0.25">
      <c r="A24" t="s">
        <v>235</v>
      </c>
      <c r="B24" t="s">
        <v>236</v>
      </c>
      <c r="C24" t="s">
        <v>237</v>
      </c>
      <c r="D24" t="s">
        <v>230</v>
      </c>
      <c r="E24" s="2">
        <v>45848</v>
      </c>
      <c r="F24" s="2">
        <v>46213</v>
      </c>
      <c r="G24" s="1">
        <v>10815700</v>
      </c>
    </row>
    <row r="25" spans="1:7" x14ac:dyDescent="0.25">
      <c r="A25" t="s">
        <v>238</v>
      </c>
      <c r="B25" t="s">
        <v>114</v>
      </c>
      <c r="C25" t="s">
        <v>239</v>
      </c>
      <c r="D25" t="s">
        <v>240</v>
      </c>
      <c r="E25" s="2">
        <v>45980</v>
      </c>
      <c r="F25" s="2">
        <v>47441</v>
      </c>
      <c r="G25" s="1">
        <v>10815705</v>
      </c>
    </row>
    <row r="26" spans="1:7" x14ac:dyDescent="0.25">
      <c r="A26" t="s">
        <v>241</v>
      </c>
      <c r="B26" t="s">
        <v>105</v>
      </c>
      <c r="C26" t="s">
        <v>242</v>
      </c>
      <c r="D26" t="s">
        <v>188</v>
      </c>
      <c r="E26" s="2">
        <v>45959</v>
      </c>
      <c r="F26" s="2">
        <v>46323</v>
      </c>
      <c r="G26" s="1">
        <v>10815724</v>
      </c>
    </row>
    <row r="27" spans="1:7" x14ac:dyDescent="0.25">
      <c r="A27" t="s">
        <v>243</v>
      </c>
      <c r="B27" t="s">
        <v>143</v>
      </c>
      <c r="C27" t="s">
        <v>244</v>
      </c>
      <c r="D27" t="s">
        <v>188</v>
      </c>
      <c r="E27" s="2">
        <v>46000</v>
      </c>
      <c r="F27" s="2">
        <v>46365</v>
      </c>
      <c r="G27" s="1">
        <v>10815734</v>
      </c>
    </row>
    <row r="28" spans="1:7" x14ac:dyDescent="0.25">
      <c r="A28" t="s">
        <v>245</v>
      </c>
      <c r="B28" t="s">
        <v>245</v>
      </c>
      <c r="C28" t="s">
        <v>246</v>
      </c>
      <c r="D28" t="s">
        <v>188</v>
      </c>
      <c r="E28" s="2">
        <v>45939</v>
      </c>
      <c r="F28" s="2">
        <v>46303</v>
      </c>
      <c r="G28" s="1">
        <v>10815816</v>
      </c>
    </row>
    <row r="29" spans="1:7" x14ac:dyDescent="0.25">
      <c r="A29" t="s">
        <v>247</v>
      </c>
      <c r="B29" t="s">
        <v>57</v>
      </c>
      <c r="C29" t="s">
        <v>248</v>
      </c>
      <c r="D29" t="s">
        <v>160</v>
      </c>
      <c r="E29" s="2">
        <v>44882</v>
      </c>
      <c r="F29" s="2">
        <v>46342</v>
      </c>
      <c r="G29" s="1">
        <v>10838137</v>
      </c>
    </row>
    <row r="30" spans="1:7" x14ac:dyDescent="0.25">
      <c r="A30" t="s">
        <v>249</v>
      </c>
      <c r="B30" t="s">
        <v>55</v>
      </c>
      <c r="C30" t="s">
        <v>250</v>
      </c>
      <c r="D30" t="s">
        <v>160</v>
      </c>
      <c r="E30" s="2">
        <v>45065</v>
      </c>
      <c r="F30" s="2">
        <v>46161</v>
      </c>
      <c r="G30" s="1">
        <v>10838176</v>
      </c>
    </row>
    <row r="31" spans="1:7" x14ac:dyDescent="0.25">
      <c r="A31" t="s">
        <v>251</v>
      </c>
      <c r="B31" t="s">
        <v>252</v>
      </c>
      <c r="C31" t="s">
        <v>253</v>
      </c>
      <c r="D31" t="s">
        <v>214</v>
      </c>
      <c r="E31" s="2">
        <v>45726</v>
      </c>
      <c r="F31" s="2">
        <v>46822</v>
      </c>
      <c r="G31" s="1">
        <v>10850399</v>
      </c>
    </row>
    <row r="32" spans="1:7" x14ac:dyDescent="0.25">
      <c r="A32" t="s">
        <v>254</v>
      </c>
      <c r="B32" t="s">
        <v>129</v>
      </c>
      <c r="C32" t="s">
        <v>255</v>
      </c>
      <c r="D32" t="s">
        <v>256</v>
      </c>
      <c r="E32" s="2">
        <v>45784</v>
      </c>
      <c r="F32" s="2">
        <v>46513</v>
      </c>
      <c r="G32" s="1">
        <v>10850708</v>
      </c>
    </row>
    <row r="33" spans="1:7" x14ac:dyDescent="0.25">
      <c r="A33" t="s">
        <v>257</v>
      </c>
      <c r="B33" t="s">
        <v>131</v>
      </c>
      <c r="C33" t="s">
        <v>258</v>
      </c>
      <c r="D33" t="s">
        <v>259</v>
      </c>
      <c r="E33" s="2">
        <v>45587</v>
      </c>
      <c r="F33" s="2">
        <v>46317</v>
      </c>
      <c r="G33" s="1">
        <v>10850873</v>
      </c>
    </row>
    <row r="34" spans="1:7" x14ac:dyDescent="0.25">
      <c r="A34" t="s">
        <v>260</v>
      </c>
      <c r="B34" t="s">
        <v>81</v>
      </c>
      <c r="C34" t="s">
        <v>261</v>
      </c>
      <c r="D34" t="s">
        <v>206</v>
      </c>
      <c r="E34" s="2">
        <v>45254</v>
      </c>
      <c r="F34" s="2">
        <v>45870</v>
      </c>
      <c r="G34" s="1">
        <v>10878127</v>
      </c>
    </row>
    <row r="35" spans="1:7" x14ac:dyDescent="0.25">
      <c r="A35" t="s">
        <v>262</v>
      </c>
      <c r="B35" t="s">
        <v>263</v>
      </c>
      <c r="C35" t="s">
        <v>264</v>
      </c>
      <c r="D35" t="s">
        <v>265</v>
      </c>
      <c r="E35" s="2">
        <v>45609</v>
      </c>
      <c r="F35" s="2">
        <v>46339</v>
      </c>
      <c r="G35" s="1">
        <v>10852447</v>
      </c>
    </row>
    <row r="36" spans="1:7" x14ac:dyDescent="0.25">
      <c r="A36" t="s">
        <v>266</v>
      </c>
      <c r="B36" t="s">
        <v>130</v>
      </c>
      <c r="C36" t="s">
        <v>267</v>
      </c>
      <c r="D36" t="s">
        <v>268</v>
      </c>
      <c r="E36" s="2">
        <v>45797</v>
      </c>
      <c r="F36" s="2">
        <v>47623</v>
      </c>
      <c r="G36" s="1">
        <v>10853658</v>
      </c>
    </row>
    <row r="37" spans="1:7" x14ac:dyDescent="0.25">
      <c r="A37" t="s">
        <v>269</v>
      </c>
      <c r="B37" t="s">
        <v>270</v>
      </c>
      <c r="C37" t="s">
        <v>271</v>
      </c>
      <c r="D37" t="s">
        <v>272</v>
      </c>
      <c r="E37" s="2">
        <v>45560</v>
      </c>
      <c r="F37" s="2">
        <v>45925</v>
      </c>
      <c r="G37" s="1">
        <v>10867361</v>
      </c>
    </row>
    <row r="38" spans="1:7" x14ac:dyDescent="0.25">
      <c r="A38" t="s">
        <v>273</v>
      </c>
      <c r="B38" t="s">
        <v>119</v>
      </c>
      <c r="C38" t="s">
        <v>274</v>
      </c>
      <c r="D38" t="s">
        <v>275</v>
      </c>
      <c r="E38" s="2">
        <v>45241</v>
      </c>
      <c r="F38" s="2">
        <v>46336</v>
      </c>
      <c r="G38" s="1">
        <v>10878232</v>
      </c>
    </row>
    <row r="39" spans="1:7" x14ac:dyDescent="0.25">
      <c r="A39" t="s">
        <v>276</v>
      </c>
      <c r="B39" t="s">
        <v>106</v>
      </c>
      <c r="C39" t="s">
        <v>267</v>
      </c>
      <c r="D39" t="s">
        <v>240</v>
      </c>
      <c r="E39" s="2">
        <v>45737</v>
      </c>
      <c r="F39" s="2">
        <v>46102</v>
      </c>
      <c r="G39" s="1">
        <v>10876724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dos Valores</vt:lpstr>
      <vt:lpstr>Atualização Monetária</vt:lpstr>
      <vt:lpstr>Relação de Contratos</vt:lpstr>
    </vt:vector>
  </TitlesOfParts>
  <Company>MINFRA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Babinski Neto</dc:creator>
  <cp:lastModifiedBy>Stefano Babinski Neto</cp:lastModifiedBy>
  <dcterms:created xsi:type="dcterms:W3CDTF">2026-03-03T17:29:17Z</dcterms:created>
  <dcterms:modified xsi:type="dcterms:W3CDTF">2026-03-06T20:00:03Z</dcterms:modified>
</cp:coreProperties>
</file>